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PAYMENTS\PSFA21\CSI\"/>
    </mc:Choice>
  </mc:AlternateContent>
  <xr:revisionPtr revIDLastSave="0" documentId="13_ncr:1_{A06C0EB1-7451-4754-8406-8B6B399F42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nthly" sheetId="1" r:id="rId1"/>
    <sheet name="Entitlement to Date" sheetId="2" r:id="rId2"/>
    <sheet name="CSI Admin to Date" sheetId="4" r:id="rId3"/>
    <sheet name="CSI Counts" sheetId="7" r:id="rId4"/>
  </sheets>
  <externalReferences>
    <externalReference r:id="rId5"/>
    <externalReference r:id="rId6"/>
  </externalReferences>
  <definedNames>
    <definedName name="Inputs">[1]Inputs!$A$2:$I$181</definedName>
    <definedName name="Values">[2]Inputs!$A$2:$I$181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6" i="1" l="1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3" i="4"/>
  <c r="U24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3" i="4"/>
  <c r="T24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3" i="4"/>
  <c r="S24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2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3" i="2"/>
  <c r="U24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3" i="2"/>
  <c r="T24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3" i="2"/>
  <c r="S24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2" i="2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5" i="1"/>
  <c r="M546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24" i="1"/>
  <c r="K525" i="1"/>
  <c r="K526" i="1"/>
  <c r="K527" i="1"/>
  <c r="K528" i="1"/>
  <c r="O528" i="1" s="1"/>
  <c r="K529" i="1"/>
  <c r="K530" i="1"/>
  <c r="K531" i="1"/>
  <c r="K532" i="1"/>
  <c r="O532" i="1" s="1"/>
  <c r="K533" i="1"/>
  <c r="K534" i="1"/>
  <c r="K535" i="1"/>
  <c r="K536" i="1"/>
  <c r="O536" i="1" s="1"/>
  <c r="K537" i="1"/>
  <c r="K538" i="1"/>
  <c r="K539" i="1"/>
  <c r="K540" i="1"/>
  <c r="O540" i="1" s="1"/>
  <c r="K541" i="1"/>
  <c r="K542" i="1"/>
  <c r="K543" i="1"/>
  <c r="K545" i="1"/>
  <c r="K546" i="1"/>
  <c r="K548" i="1"/>
  <c r="O548" i="1" s="1"/>
  <c r="K549" i="1"/>
  <c r="K550" i="1"/>
  <c r="K551" i="1"/>
  <c r="K552" i="1"/>
  <c r="K553" i="1"/>
  <c r="K554" i="1"/>
  <c r="K555" i="1"/>
  <c r="K556" i="1"/>
  <c r="O556" i="1" s="1"/>
  <c r="K557" i="1"/>
  <c r="K558" i="1"/>
  <c r="K559" i="1"/>
  <c r="K560" i="1"/>
  <c r="O560" i="1" s="1"/>
  <c r="K561" i="1"/>
  <c r="K562" i="1"/>
  <c r="K563" i="1"/>
  <c r="K524" i="1"/>
  <c r="N565" i="1"/>
  <c r="L565" i="1"/>
  <c r="H565" i="1"/>
  <c r="G563" i="1"/>
  <c r="J563" i="1" s="1"/>
  <c r="J562" i="1"/>
  <c r="G562" i="1"/>
  <c r="J561" i="1"/>
  <c r="G561" i="1"/>
  <c r="J560" i="1"/>
  <c r="G560" i="1"/>
  <c r="G559" i="1"/>
  <c r="J559" i="1" s="1"/>
  <c r="J558" i="1"/>
  <c r="G558" i="1"/>
  <c r="J557" i="1"/>
  <c r="G557" i="1"/>
  <c r="J556" i="1"/>
  <c r="G556" i="1"/>
  <c r="G555" i="1"/>
  <c r="J555" i="1" s="1"/>
  <c r="J554" i="1"/>
  <c r="G554" i="1"/>
  <c r="J553" i="1"/>
  <c r="G553" i="1"/>
  <c r="J552" i="1"/>
  <c r="G552" i="1"/>
  <c r="G551" i="1"/>
  <c r="J551" i="1" s="1"/>
  <c r="J550" i="1"/>
  <c r="G550" i="1"/>
  <c r="J549" i="1"/>
  <c r="G549" i="1"/>
  <c r="J548" i="1"/>
  <c r="G548" i="1"/>
  <c r="G547" i="1"/>
  <c r="J547" i="1" s="1"/>
  <c r="S25" i="4" s="1"/>
  <c r="T25" i="4" s="1"/>
  <c r="J546" i="1"/>
  <c r="G546" i="1"/>
  <c r="J545" i="1"/>
  <c r="G545" i="1"/>
  <c r="J544" i="1"/>
  <c r="S22" i="4" s="1"/>
  <c r="T22" i="4" s="1"/>
  <c r="G544" i="1"/>
  <c r="G543" i="1"/>
  <c r="J543" i="1" s="1"/>
  <c r="J542" i="1"/>
  <c r="G542" i="1"/>
  <c r="J541" i="1"/>
  <c r="G541" i="1"/>
  <c r="J540" i="1"/>
  <c r="G540" i="1"/>
  <c r="G539" i="1"/>
  <c r="J539" i="1" s="1"/>
  <c r="J538" i="1"/>
  <c r="G538" i="1"/>
  <c r="J537" i="1"/>
  <c r="G537" i="1"/>
  <c r="J536" i="1"/>
  <c r="G536" i="1"/>
  <c r="G535" i="1"/>
  <c r="J535" i="1" s="1"/>
  <c r="J534" i="1"/>
  <c r="G534" i="1"/>
  <c r="J533" i="1"/>
  <c r="G533" i="1"/>
  <c r="J532" i="1"/>
  <c r="G532" i="1"/>
  <c r="G531" i="1"/>
  <c r="J531" i="1" s="1"/>
  <c r="J530" i="1"/>
  <c r="G530" i="1"/>
  <c r="J529" i="1"/>
  <c r="G529" i="1"/>
  <c r="J528" i="1"/>
  <c r="G528" i="1"/>
  <c r="G527" i="1"/>
  <c r="J527" i="1" s="1"/>
  <c r="J526" i="1"/>
  <c r="G526" i="1"/>
  <c r="J525" i="1"/>
  <c r="G525" i="1"/>
  <c r="J524" i="1"/>
  <c r="G524" i="1"/>
  <c r="G565" i="1" s="1"/>
  <c r="M518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477" i="1"/>
  <c r="K547" i="1" l="1"/>
  <c r="O547" i="1" s="1"/>
  <c r="U25" i="4"/>
  <c r="S25" i="2"/>
  <c r="T25" i="2" s="1"/>
  <c r="M547" i="1"/>
  <c r="U22" i="4"/>
  <c r="K544" i="1"/>
  <c r="O544" i="1" s="1"/>
  <c r="M544" i="1"/>
  <c r="S22" i="2"/>
  <c r="T22" i="2" s="1"/>
  <c r="O552" i="1"/>
  <c r="O524" i="1"/>
  <c r="O563" i="1"/>
  <c r="O529" i="1"/>
  <c r="O537" i="1"/>
  <c r="O545" i="1"/>
  <c r="O553" i="1"/>
  <c r="O561" i="1"/>
  <c r="O531" i="1"/>
  <c r="M565" i="1"/>
  <c r="O527" i="1"/>
  <c r="O535" i="1"/>
  <c r="O543" i="1"/>
  <c r="O551" i="1"/>
  <c r="O559" i="1"/>
  <c r="O539" i="1"/>
  <c r="J565" i="1"/>
  <c r="O525" i="1"/>
  <c r="O533" i="1"/>
  <c r="O541" i="1"/>
  <c r="O549" i="1"/>
  <c r="O557" i="1"/>
  <c r="O526" i="1"/>
  <c r="O530" i="1"/>
  <c r="O534" i="1"/>
  <c r="O538" i="1"/>
  <c r="O542" i="1"/>
  <c r="O546" i="1"/>
  <c r="O550" i="1"/>
  <c r="O554" i="1"/>
  <c r="O558" i="1"/>
  <c r="O562" i="1"/>
  <c r="N518" i="1"/>
  <c r="L518" i="1"/>
  <c r="H518" i="1"/>
  <c r="J516" i="1"/>
  <c r="G516" i="1"/>
  <c r="O515" i="1"/>
  <c r="J515" i="1"/>
  <c r="G515" i="1"/>
  <c r="O514" i="1"/>
  <c r="J514" i="1"/>
  <c r="G514" i="1"/>
  <c r="G513" i="1"/>
  <c r="J513" i="1" s="1"/>
  <c r="G512" i="1"/>
  <c r="J512" i="1" s="1"/>
  <c r="J511" i="1"/>
  <c r="G511" i="1"/>
  <c r="O510" i="1"/>
  <c r="J510" i="1"/>
  <c r="G510" i="1"/>
  <c r="G509" i="1"/>
  <c r="J509" i="1" s="1"/>
  <c r="G508" i="1"/>
  <c r="J508" i="1" s="1"/>
  <c r="J507" i="1"/>
  <c r="G507" i="1"/>
  <c r="O506" i="1"/>
  <c r="J506" i="1"/>
  <c r="G506" i="1"/>
  <c r="G505" i="1"/>
  <c r="J505" i="1" s="1"/>
  <c r="G504" i="1"/>
  <c r="J504" i="1" s="1"/>
  <c r="J503" i="1"/>
  <c r="G503" i="1"/>
  <c r="O502" i="1"/>
  <c r="J502" i="1"/>
  <c r="G502" i="1"/>
  <c r="G501" i="1"/>
  <c r="J501" i="1" s="1"/>
  <c r="G500" i="1"/>
  <c r="J500" i="1" s="1"/>
  <c r="J499" i="1"/>
  <c r="G499" i="1"/>
  <c r="O498" i="1"/>
  <c r="J498" i="1"/>
  <c r="G498" i="1"/>
  <c r="G497" i="1"/>
  <c r="J497" i="1" s="1"/>
  <c r="G496" i="1"/>
  <c r="J496" i="1" s="1"/>
  <c r="J495" i="1"/>
  <c r="G495" i="1"/>
  <c r="O494" i="1"/>
  <c r="J494" i="1"/>
  <c r="G494" i="1"/>
  <c r="G493" i="1"/>
  <c r="J493" i="1" s="1"/>
  <c r="G492" i="1"/>
  <c r="J492" i="1" s="1"/>
  <c r="J491" i="1"/>
  <c r="G491" i="1"/>
  <c r="O490" i="1"/>
  <c r="J490" i="1"/>
  <c r="G490" i="1"/>
  <c r="G489" i="1"/>
  <c r="J489" i="1" s="1"/>
  <c r="G488" i="1"/>
  <c r="J488" i="1" s="1"/>
  <c r="J487" i="1"/>
  <c r="G487" i="1"/>
  <c r="O486" i="1"/>
  <c r="J486" i="1"/>
  <c r="G486" i="1"/>
  <c r="G485" i="1"/>
  <c r="J485" i="1" s="1"/>
  <c r="G484" i="1"/>
  <c r="J484" i="1" s="1"/>
  <c r="J483" i="1"/>
  <c r="G483" i="1"/>
  <c r="O482" i="1"/>
  <c r="J482" i="1"/>
  <c r="G482" i="1"/>
  <c r="G481" i="1"/>
  <c r="J481" i="1" s="1"/>
  <c r="G480" i="1"/>
  <c r="J480" i="1" s="1"/>
  <c r="J479" i="1"/>
  <c r="G479" i="1"/>
  <c r="O478" i="1"/>
  <c r="J478" i="1"/>
  <c r="G478" i="1"/>
  <c r="G477" i="1"/>
  <c r="J477" i="1" s="1"/>
  <c r="U25" i="2" l="1"/>
  <c r="U22" i="2"/>
  <c r="O555" i="1"/>
  <c r="O565" i="1" s="1"/>
  <c r="K565" i="1"/>
  <c r="O480" i="1"/>
  <c r="O484" i="1"/>
  <c r="O492" i="1"/>
  <c r="O500" i="1"/>
  <c r="O504" i="1"/>
  <c r="O508" i="1"/>
  <c r="O512" i="1"/>
  <c r="J518" i="1"/>
  <c r="O485" i="1"/>
  <c r="O493" i="1"/>
  <c r="O497" i="1"/>
  <c r="O505" i="1"/>
  <c r="O513" i="1"/>
  <c r="O483" i="1"/>
  <c r="O511" i="1"/>
  <c r="O496" i="1"/>
  <c r="O488" i="1"/>
  <c r="O479" i="1"/>
  <c r="O487" i="1"/>
  <c r="O499" i="1"/>
  <c r="O507" i="1"/>
  <c r="G518" i="1"/>
  <c r="O491" i="1"/>
  <c r="O495" i="1"/>
  <c r="O503" i="1"/>
  <c r="O516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K431" i="1"/>
  <c r="O431" i="1" s="1"/>
  <c r="K432" i="1"/>
  <c r="O432" i="1" s="1"/>
  <c r="K433" i="1"/>
  <c r="O433" i="1" s="1"/>
  <c r="K434" i="1"/>
  <c r="O434" i="1" s="1"/>
  <c r="K435" i="1"/>
  <c r="O435" i="1" s="1"/>
  <c r="K436" i="1"/>
  <c r="O436" i="1" s="1"/>
  <c r="K437" i="1"/>
  <c r="O437" i="1" s="1"/>
  <c r="K438" i="1"/>
  <c r="O438" i="1" s="1"/>
  <c r="K439" i="1"/>
  <c r="O439" i="1" s="1"/>
  <c r="K440" i="1"/>
  <c r="O440" i="1" s="1"/>
  <c r="K441" i="1"/>
  <c r="O441" i="1" s="1"/>
  <c r="K442" i="1"/>
  <c r="O442" i="1" s="1"/>
  <c r="K443" i="1"/>
  <c r="O443" i="1" s="1"/>
  <c r="K444" i="1"/>
  <c r="O444" i="1" s="1"/>
  <c r="K445" i="1"/>
  <c r="O445" i="1" s="1"/>
  <c r="K446" i="1"/>
  <c r="O446" i="1" s="1"/>
  <c r="K447" i="1"/>
  <c r="O447" i="1" s="1"/>
  <c r="K448" i="1"/>
  <c r="O448" i="1" s="1"/>
  <c r="K449" i="1"/>
  <c r="O449" i="1" s="1"/>
  <c r="K450" i="1"/>
  <c r="O450" i="1" s="1"/>
  <c r="K451" i="1"/>
  <c r="O451" i="1" s="1"/>
  <c r="K452" i="1"/>
  <c r="O452" i="1" s="1"/>
  <c r="K453" i="1"/>
  <c r="O453" i="1" s="1"/>
  <c r="K454" i="1"/>
  <c r="O454" i="1" s="1"/>
  <c r="K455" i="1"/>
  <c r="O455" i="1" s="1"/>
  <c r="K456" i="1"/>
  <c r="O456" i="1" s="1"/>
  <c r="K457" i="1"/>
  <c r="O457" i="1" s="1"/>
  <c r="K458" i="1"/>
  <c r="O458" i="1" s="1"/>
  <c r="K459" i="1"/>
  <c r="O459" i="1" s="1"/>
  <c r="K460" i="1"/>
  <c r="O460" i="1" s="1"/>
  <c r="K461" i="1"/>
  <c r="O461" i="1" s="1"/>
  <c r="K462" i="1"/>
  <c r="O462" i="1" s="1"/>
  <c r="K463" i="1"/>
  <c r="O463" i="1" s="1"/>
  <c r="K464" i="1"/>
  <c r="O464" i="1" s="1"/>
  <c r="K465" i="1"/>
  <c r="O465" i="1" s="1"/>
  <c r="K466" i="1"/>
  <c r="O466" i="1" s="1"/>
  <c r="K467" i="1"/>
  <c r="O467" i="1" s="1"/>
  <c r="K468" i="1"/>
  <c r="O468" i="1" s="1"/>
  <c r="K469" i="1"/>
  <c r="O469" i="1" s="1"/>
  <c r="N471" i="1"/>
  <c r="L471" i="1"/>
  <c r="H471" i="1"/>
  <c r="J469" i="1"/>
  <c r="G469" i="1"/>
  <c r="J468" i="1"/>
  <c r="G468" i="1"/>
  <c r="J467" i="1"/>
  <c r="G467" i="1"/>
  <c r="G466" i="1"/>
  <c r="J466" i="1" s="1"/>
  <c r="J465" i="1"/>
  <c r="G465" i="1"/>
  <c r="J464" i="1"/>
  <c r="G464" i="1"/>
  <c r="J463" i="1"/>
  <c r="G463" i="1"/>
  <c r="G462" i="1"/>
  <c r="J462" i="1" s="1"/>
  <c r="J461" i="1"/>
  <c r="G461" i="1"/>
  <c r="J460" i="1"/>
  <c r="G460" i="1"/>
  <c r="J459" i="1"/>
  <c r="G459" i="1"/>
  <c r="G458" i="1"/>
  <c r="J458" i="1" s="1"/>
  <c r="J457" i="1"/>
  <c r="G457" i="1"/>
  <c r="J456" i="1"/>
  <c r="G456" i="1"/>
  <c r="J455" i="1"/>
  <c r="G455" i="1"/>
  <c r="G454" i="1"/>
  <c r="J454" i="1" s="1"/>
  <c r="J453" i="1"/>
  <c r="G453" i="1"/>
  <c r="J452" i="1"/>
  <c r="G452" i="1"/>
  <c r="J451" i="1"/>
  <c r="G451" i="1"/>
  <c r="G450" i="1"/>
  <c r="J450" i="1" s="1"/>
  <c r="J449" i="1"/>
  <c r="G449" i="1"/>
  <c r="J448" i="1"/>
  <c r="G448" i="1"/>
  <c r="J447" i="1"/>
  <c r="G447" i="1"/>
  <c r="G446" i="1"/>
  <c r="J446" i="1" s="1"/>
  <c r="J445" i="1"/>
  <c r="G445" i="1"/>
  <c r="J444" i="1"/>
  <c r="G444" i="1"/>
  <c r="J443" i="1"/>
  <c r="G443" i="1"/>
  <c r="G442" i="1"/>
  <c r="J442" i="1" s="1"/>
  <c r="J441" i="1"/>
  <c r="G441" i="1"/>
  <c r="J440" i="1"/>
  <c r="G440" i="1"/>
  <c r="J439" i="1"/>
  <c r="G439" i="1"/>
  <c r="G438" i="1"/>
  <c r="J438" i="1" s="1"/>
  <c r="J437" i="1"/>
  <c r="G437" i="1"/>
  <c r="J436" i="1"/>
  <c r="G436" i="1"/>
  <c r="J435" i="1"/>
  <c r="G435" i="1"/>
  <c r="G434" i="1"/>
  <c r="J434" i="1" s="1"/>
  <c r="J433" i="1"/>
  <c r="G433" i="1"/>
  <c r="J432" i="1"/>
  <c r="G432" i="1"/>
  <c r="J431" i="1"/>
  <c r="G431" i="1"/>
  <c r="G430" i="1"/>
  <c r="J430" i="1" s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O489" i="1" l="1"/>
  <c r="O481" i="1"/>
  <c r="K518" i="1"/>
  <c r="O477" i="1"/>
  <c r="O509" i="1"/>
  <c r="O501" i="1"/>
  <c r="J471" i="1"/>
  <c r="G471" i="1"/>
  <c r="N424" i="1"/>
  <c r="L424" i="1"/>
  <c r="H424" i="1"/>
  <c r="G422" i="1"/>
  <c r="J422" i="1" s="1"/>
  <c r="J421" i="1"/>
  <c r="G421" i="1"/>
  <c r="J420" i="1"/>
  <c r="G420" i="1"/>
  <c r="J419" i="1"/>
  <c r="G419" i="1"/>
  <c r="G418" i="1"/>
  <c r="J418" i="1" s="1"/>
  <c r="J417" i="1"/>
  <c r="G417" i="1"/>
  <c r="J416" i="1"/>
  <c r="G416" i="1"/>
  <c r="J415" i="1"/>
  <c r="G415" i="1"/>
  <c r="G414" i="1"/>
  <c r="J414" i="1" s="1"/>
  <c r="J413" i="1"/>
  <c r="G413" i="1"/>
  <c r="J412" i="1"/>
  <c r="G412" i="1"/>
  <c r="J411" i="1"/>
  <c r="G411" i="1"/>
  <c r="G410" i="1"/>
  <c r="J410" i="1" s="1"/>
  <c r="J409" i="1"/>
  <c r="G409" i="1"/>
  <c r="J408" i="1"/>
  <c r="G408" i="1"/>
  <c r="J407" i="1"/>
  <c r="G407" i="1"/>
  <c r="G406" i="1"/>
  <c r="J406" i="1" s="1"/>
  <c r="J405" i="1"/>
  <c r="G405" i="1"/>
  <c r="J404" i="1"/>
  <c r="G404" i="1"/>
  <c r="J403" i="1"/>
  <c r="G403" i="1"/>
  <c r="G402" i="1"/>
  <c r="J402" i="1" s="1"/>
  <c r="G401" i="1"/>
  <c r="J401" i="1" s="1"/>
  <c r="J400" i="1"/>
  <c r="G400" i="1"/>
  <c r="J399" i="1"/>
  <c r="G399" i="1"/>
  <c r="G398" i="1"/>
  <c r="J398" i="1" s="1"/>
  <c r="G397" i="1"/>
  <c r="J397" i="1" s="1"/>
  <c r="J396" i="1"/>
  <c r="G396" i="1"/>
  <c r="J395" i="1"/>
  <c r="G395" i="1"/>
  <c r="G394" i="1"/>
  <c r="J394" i="1" s="1"/>
  <c r="G393" i="1"/>
  <c r="J393" i="1" s="1"/>
  <c r="J392" i="1"/>
  <c r="G392" i="1"/>
  <c r="J391" i="1"/>
  <c r="G391" i="1"/>
  <c r="G390" i="1"/>
  <c r="J390" i="1" s="1"/>
  <c r="G389" i="1"/>
  <c r="J389" i="1" s="1"/>
  <c r="J388" i="1"/>
  <c r="G388" i="1"/>
  <c r="J387" i="1"/>
  <c r="G387" i="1"/>
  <c r="G386" i="1"/>
  <c r="J386" i="1" s="1"/>
  <c r="G385" i="1"/>
  <c r="J385" i="1" s="1"/>
  <c r="J384" i="1"/>
  <c r="G384" i="1"/>
  <c r="J383" i="1"/>
  <c r="G383" i="1"/>
  <c r="G424" i="1" s="1"/>
  <c r="J377" i="1"/>
  <c r="L377" i="1"/>
  <c r="N377" i="1"/>
  <c r="O518" i="1" l="1"/>
  <c r="K471" i="1"/>
  <c r="O430" i="1"/>
  <c r="M471" i="1"/>
  <c r="O408" i="1"/>
  <c r="O407" i="1"/>
  <c r="O395" i="1"/>
  <c r="O399" i="1"/>
  <c r="O403" i="1"/>
  <c r="O404" i="1"/>
  <c r="O411" i="1"/>
  <c r="O419" i="1"/>
  <c r="O420" i="1"/>
  <c r="O415" i="1"/>
  <c r="O391" i="1"/>
  <c r="O387" i="1"/>
  <c r="O383" i="1"/>
  <c r="O416" i="1"/>
  <c r="J424" i="1"/>
  <c r="O389" i="1"/>
  <c r="O393" i="1"/>
  <c r="O397" i="1"/>
  <c r="O401" i="1"/>
  <c r="O412" i="1"/>
  <c r="O402" i="1"/>
  <c r="O418" i="1"/>
  <c r="O398" i="1"/>
  <c r="O392" i="1"/>
  <c r="O396" i="1"/>
  <c r="O388" i="1"/>
  <c r="O400" i="1"/>
  <c r="O405" i="1"/>
  <c r="O409" i="1"/>
  <c r="O413" i="1"/>
  <c r="O417" i="1"/>
  <c r="O421" i="1"/>
  <c r="J338" i="1"/>
  <c r="H377" i="1"/>
  <c r="O471" i="1" l="1"/>
  <c r="O385" i="1"/>
  <c r="O422" i="1"/>
  <c r="O406" i="1"/>
  <c r="M424" i="1"/>
  <c r="O386" i="1"/>
  <c r="O384" i="1"/>
  <c r="O390" i="1"/>
  <c r="O410" i="1"/>
  <c r="O394" i="1"/>
  <c r="O414" i="1"/>
  <c r="K424" i="1"/>
  <c r="M350" i="1"/>
  <c r="M374" i="1"/>
  <c r="K362" i="1"/>
  <c r="G375" i="1"/>
  <c r="J375" i="1" s="1"/>
  <c r="M375" i="1" s="1"/>
  <c r="G374" i="1"/>
  <c r="J374" i="1" s="1"/>
  <c r="K374" i="1" s="1"/>
  <c r="G373" i="1"/>
  <c r="J373" i="1" s="1"/>
  <c r="M373" i="1" s="1"/>
  <c r="G372" i="1"/>
  <c r="J372" i="1" s="1"/>
  <c r="J371" i="1"/>
  <c r="M371" i="1" s="1"/>
  <c r="G371" i="1"/>
  <c r="G370" i="1"/>
  <c r="J370" i="1" s="1"/>
  <c r="M370" i="1" s="1"/>
  <c r="G369" i="1"/>
  <c r="J369" i="1" s="1"/>
  <c r="M369" i="1" s="1"/>
  <c r="J368" i="1"/>
  <c r="M368" i="1" s="1"/>
  <c r="G368" i="1"/>
  <c r="G367" i="1"/>
  <c r="J367" i="1" s="1"/>
  <c r="G366" i="1"/>
  <c r="J366" i="1" s="1"/>
  <c r="K366" i="1" s="1"/>
  <c r="G365" i="1"/>
  <c r="J365" i="1" s="1"/>
  <c r="M365" i="1" s="1"/>
  <c r="G364" i="1"/>
  <c r="J364" i="1" s="1"/>
  <c r="G363" i="1"/>
  <c r="J363" i="1" s="1"/>
  <c r="G362" i="1"/>
  <c r="J362" i="1" s="1"/>
  <c r="M362" i="1" s="1"/>
  <c r="G361" i="1"/>
  <c r="J361" i="1" s="1"/>
  <c r="M361" i="1" s="1"/>
  <c r="G360" i="1"/>
  <c r="J360" i="1" s="1"/>
  <c r="M360" i="1" s="1"/>
  <c r="G359" i="1"/>
  <c r="J359" i="1" s="1"/>
  <c r="M359" i="1" s="1"/>
  <c r="G358" i="1"/>
  <c r="J358" i="1" s="1"/>
  <c r="M358" i="1" s="1"/>
  <c r="G357" i="1"/>
  <c r="J357" i="1" s="1"/>
  <c r="M357" i="1" s="1"/>
  <c r="G356" i="1"/>
  <c r="J356" i="1" s="1"/>
  <c r="M356" i="1" s="1"/>
  <c r="G355" i="1"/>
  <c r="J355" i="1" s="1"/>
  <c r="M355" i="1" s="1"/>
  <c r="G354" i="1"/>
  <c r="J354" i="1" s="1"/>
  <c r="G353" i="1"/>
  <c r="J353" i="1" s="1"/>
  <c r="M353" i="1" s="1"/>
  <c r="G352" i="1"/>
  <c r="J352" i="1" s="1"/>
  <c r="M352" i="1" s="1"/>
  <c r="J351" i="1"/>
  <c r="M351" i="1" s="1"/>
  <c r="G351" i="1"/>
  <c r="G350" i="1"/>
  <c r="J350" i="1" s="1"/>
  <c r="K350" i="1" s="1"/>
  <c r="G349" i="1"/>
  <c r="J349" i="1" s="1"/>
  <c r="M349" i="1" s="1"/>
  <c r="G348" i="1"/>
  <c r="J348" i="1" s="1"/>
  <c r="M348" i="1" s="1"/>
  <c r="G347" i="1"/>
  <c r="J347" i="1" s="1"/>
  <c r="M347" i="1" s="1"/>
  <c r="G346" i="1"/>
  <c r="J346" i="1" s="1"/>
  <c r="M346" i="1" s="1"/>
  <c r="G345" i="1"/>
  <c r="J345" i="1" s="1"/>
  <c r="M345" i="1" s="1"/>
  <c r="G344" i="1"/>
  <c r="J344" i="1" s="1"/>
  <c r="M344" i="1" s="1"/>
  <c r="G343" i="1"/>
  <c r="J343" i="1" s="1"/>
  <c r="M343" i="1" s="1"/>
  <c r="G342" i="1"/>
  <c r="J342" i="1" s="1"/>
  <c r="K342" i="1" s="1"/>
  <c r="G341" i="1"/>
  <c r="J341" i="1" s="1"/>
  <c r="M341" i="1" s="1"/>
  <c r="G340" i="1"/>
  <c r="J340" i="1" s="1"/>
  <c r="M340" i="1" s="1"/>
  <c r="G339" i="1"/>
  <c r="J339" i="1" s="1"/>
  <c r="M339" i="1" s="1"/>
  <c r="G338" i="1"/>
  <c r="M338" i="1" s="1"/>
  <c r="G337" i="1"/>
  <c r="J337" i="1" s="1"/>
  <c r="M337" i="1" s="1"/>
  <c r="G336" i="1"/>
  <c r="M330" i="1"/>
  <c r="K330" i="1"/>
  <c r="G328" i="1"/>
  <c r="G327" i="1"/>
  <c r="I327" i="1" s="1"/>
  <c r="G326" i="1"/>
  <c r="I326" i="1" s="1"/>
  <c r="L326" i="1" s="1"/>
  <c r="G325" i="1"/>
  <c r="I325" i="1" s="1"/>
  <c r="G324" i="1"/>
  <c r="I324" i="1" s="1"/>
  <c r="L324" i="1" s="1"/>
  <c r="G323" i="1"/>
  <c r="I323" i="1" s="1"/>
  <c r="L323" i="1" s="1"/>
  <c r="G322" i="1"/>
  <c r="G321" i="1"/>
  <c r="I321" i="1" s="1"/>
  <c r="G320" i="1"/>
  <c r="G319" i="1"/>
  <c r="I319" i="1" s="1"/>
  <c r="G318" i="1"/>
  <c r="I318" i="1" s="1"/>
  <c r="L318" i="1" s="1"/>
  <c r="I317" i="1"/>
  <c r="G317" i="1"/>
  <c r="G316" i="1"/>
  <c r="I316" i="1" s="1"/>
  <c r="L316" i="1" s="1"/>
  <c r="G315" i="1"/>
  <c r="I315" i="1" s="1"/>
  <c r="L315" i="1" s="1"/>
  <c r="G314" i="1"/>
  <c r="I314" i="1" s="1"/>
  <c r="L314" i="1" s="1"/>
  <c r="G313" i="1"/>
  <c r="I313" i="1" s="1"/>
  <c r="L313" i="1" s="1"/>
  <c r="G312" i="1"/>
  <c r="I312" i="1" s="1"/>
  <c r="L312" i="1" s="1"/>
  <c r="G311" i="1"/>
  <c r="I311" i="1" s="1"/>
  <c r="G310" i="1"/>
  <c r="G309" i="1"/>
  <c r="I309" i="1" s="1"/>
  <c r="G308" i="1"/>
  <c r="I308" i="1" s="1"/>
  <c r="L308" i="1" s="1"/>
  <c r="G307" i="1"/>
  <c r="I307" i="1" s="1"/>
  <c r="L307" i="1" s="1"/>
  <c r="G306" i="1"/>
  <c r="I306" i="1" s="1"/>
  <c r="L306" i="1" s="1"/>
  <c r="G305" i="1"/>
  <c r="I305" i="1" s="1"/>
  <c r="L305" i="1" s="1"/>
  <c r="G304" i="1"/>
  <c r="I304" i="1" s="1"/>
  <c r="J304" i="1" s="1"/>
  <c r="G303" i="1"/>
  <c r="I303" i="1" s="1"/>
  <c r="L303" i="1" s="1"/>
  <c r="G302" i="1"/>
  <c r="I302" i="1" s="1"/>
  <c r="L302" i="1" s="1"/>
  <c r="G301" i="1"/>
  <c r="I301" i="1" s="1"/>
  <c r="L301" i="1" s="1"/>
  <c r="G300" i="1"/>
  <c r="I300" i="1" s="1"/>
  <c r="L300" i="1" s="1"/>
  <c r="G299" i="1"/>
  <c r="I299" i="1" s="1"/>
  <c r="L299" i="1" s="1"/>
  <c r="I298" i="1"/>
  <c r="J298" i="1" s="1"/>
  <c r="G298" i="1"/>
  <c r="G297" i="1"/>
  <c r="I297" i="1" s="1"/>
  <c r="J297" i="1" s="1"/>
  <c r="G296" i="1"/>
  <c r="I296" i="1" s="1"/>
  <c r="J296" i="1" s="1"/>
  <c r="G295" i="1"/>
  <c r="I295" i="1" s="1"/>
  <c r="J295" i="1" s="1"/>
  <c r="G294" i="1"/>
  <c r="I294" i="1" s="1"/>
  <c r="J294" i="1" s="1"/>
  <c r="G293" i="1"/>
  <c r="I293" i="1" s="1"/>
  <c r="J293" i="1" s="1"/>
  <c r="G292" i="1"/>
  <c r="I292" i="1" s="1"/>
  <c r="L292" i="1" s="1"/>
  <c r="G291" i="1"/>
  <c r="I291" i="1" s="1"/>
  <c r="L291" i="1" s="1"/>
  <c r="G290" i="1"/>
  <c r="I290" i="1" s="1"/>
  <c r="L290" i="1" s="1"/>
  <c r="G289" i="1"/>
  <c r="O424" i="1" l="1"/>
  <c r="K358" i="1"/>
  <c r="M366" i="1"/>
  <c r="O366" i="1" s="1"/>
  <c r="M342" i="1"/>
  <c r="M372" i="1"/>
  <c r="K372" i="1"/>
  <c r="M363" i="1"/>
  <c r="K363" i="1"/>
  <c r="O363" i="1" s="1"/>
  <c r="M367" i="1"/>
  <c r="K367" i="1"/>
  <c r="M364" i="1"/>
  <c r="K364" i="1"/>
  <c r="O364" i="1" s="1"/>
  <c r="K370" i="1"/>
  <c r="O370" i="1" s="1"/>
  <c r="K354" i="1"/>
  <c r="K346" i="1"/>
  <c r="O346" i="1" s="1"/>
  <c r="M354" i="1"/>
  <c r="G377" i="1"/>
  <c r="K373" i="1"/>
  <c r="O373" i="1" s="1"/>
  <c r="K369" i="1"/>
  <c r="O369" i="1" s="1"/>
  <c r="K365" i="1"/>
  <c r="O365" i="1" s="1"/>
  <c r="K361" i="1"/>
  <c r="O361" i="1" s="1"/>
  <c r="K357" i="1"/>
  <c r="O357" i="1" s="1"/>
  <c r="K353" i="1"/>
  <c r="O353" i="1" s="1"/>
  <c r="K349" i="1"/>
  <c r="O349" i="1" s="1"/>
  <c r="K345" i="1"/>
  <c r="O345" i="1" s="1"/>
  <c r="K341" i="1"/>
  <c r="O341" i="1" s="1"/>
  <c r="K337" i="1"/>
  <c r="O337" i="1" s="1"/>
  <c r="O342" i="1"/>
  <c r="O350" i="1"/>
  <c r="O358" i="1"/>
  <c r="K368" i="1"/>
  <c r="K360" i="1"/>
  <c r="K356" i="1"/>
  <c r="O356" i="1" s="1"/>
  <c r="K352" i="1"/>
  <c r="K348" i="1"/>
  <c r="K344" i="1"/>
  <c r="K340" i="1"/>
  <c r="K338" i="1"/>
  <c r="O338" i="1" s="1"/>
  <c r="K375" i="1"/>
  <c r="O375" i="1" s="1"/>
  <c r="K371" i="1"/>
  <c r="O371" i="1" s="1"/>
  <c r="K359" i="1"/>
  <c r="K355" i="1"/>
  <c r="O355" i="1" s="1"/>
  <c r="K351" i="1"/>
  <c r="O351" i="1" s="1"/>
  <c r="K347" i="1"/>
  <c r="O347" i="1" s="1"/>
  <c r="K343" i="1"/>
  <c r="O343" i="1" s="1"/>
  <c r="K339" i="1"/>
  <c r="O339" i="1" s="1"/>
  <c r="O344" i="1"/>
  <c r="O374" i="1"/>
  <c r="O360" i="1"/>
  <c r="O368" i="1"/>
  <c r="O372" i="1"/>
  <c r="G330" i="1"/>
  <c r="I322" i="1"/>
  <c r="J322" i="1" s="1"/>
  <c r="L294" i="1"/>
  <c r="N294" i="1" s="1"/>
  <c r="J292" i="1"/>
  <c r="N292" i="1" s="1"/>
  <c r="L293" i="1"/>
  <c r="L304" i="1"/>
  <c r="N304" i="1" s="1"/>
  <c r="J300" i="1"/>
  <c r="N300" i="1" s="1"/>
  <c r="J326" i="1"/>
  <c r="N326" i="1" s="1"/>
  <c r="J318" i="1"/>
  <c r="N318" i="1" s="1"/>
  <c r="J313" i="1"/>
  <c r="N313" i="1" s="1"/>
  <c r="J308" i="1"/>
  <c r="L309" i="1"/>
  <c r="J309" i="1"/>
  <c r="L311" i="1"/>
  <c r="J311" i="1"/>
  <c r="L317" i="1"/>
  <c r="J317" i="1"/>
  <c r="L319" i="1"/>
  <c r="J319" i="1"/>
  <c r="L321" i="1"/>
  <c r="J321" i="1"/>
  <c r="L325" i="1"/>
  <c r="J325" i="1"/>
  <c r="L327" i="1"/>
  <c r="J327" i="1"/>
  <c r="J323" i="1"/>
  <c r="N323" i="1" s="1"/>
  <c r="J315" i="1"/>
  <c r="N315" i="1" s="1"/>
  <c r="J314" i="1"/>
  <c r="N314" i="1" s="1"/>
  <c r="I310" i="1"/>
  <c r="I320" i="1"/>
  <c r="I328" i="1"/>
  <c r="J324" i="1"/>
  <c r="N324" i="1" s="1"/>
  <c r="J316" i="1"/>
  <c r="N316" i="1" s="1"/>
  <c r="J312" i="1"/>
  <c r="N312" i="1" s="1"/>
  <c r="J307" i="1"/>
  <c r="N307" i="1" s="1"/>
  <c r="J303" i="1"/>
  <c r="J299" i="1"/>
  <c r="J306" i="1"/>
  <c r="N306" i="1" s="1"/>
  <c r="J302" i="1"/>
  <c r="J305" i="1"/>
  <c r="N305" i="1" s="1"/>
  <c r="J301" i="1"/>
  <c r="N301" i="1" s="1"/>
  <c r="L298" i="1"/>
  <c r="N298" i="1" s="1"/>
  <c r="L297" i="1"/>
  <c r="N297" i="1" s="1"/>
  <c r="L296" i="1"/>
  <c r="N296" i="1" s="1"/>
  <c r="L295" i="1"/>
  <c r="N295" i="1" s="1"/>
  <c r="J291" i="1"/>
  <c r="N291" i="1" s="1"/>
  <c r="J290" i="1"/>
  <c r="N290" i="1" s="1"/>
  <c r="N303" i="1"/>
  <c r="N293" i="1"/>
  <c r="N302" i="1"/>
  <c r="I289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O56" i="7"/>
  <c r="M56" i="7"/>
  <c r="L56" i="7"/>
  <c r="K56" i="7"/>
  <c r="J56" i="7"/>
  <c r="I56" i="7"/>
  <c r="H56" i="7"/>
  <c r="G56" i="7"/>
  <c r="F56" i="7"/>
  <c r="E56" i="7"/>
  <c r="D56" i="7"/>
  <c r="C56" i="7"/>
  <c r="O55" i="7"/>
  <c r="M55" i="7"/>
  <c r="L55" i="7"/>
  <c r="K55" i="7"/>
  <c r="J55" i="7"/>
  <c r="I55" i="7"/>
  <c r="H55" i="7"/>
  <c r="G55" i="7"/>
  <c r="F55" i="7"/>
  <c r="E55" i="7"/>
  <c r="D55" i="7"/>
  <c r="C55" i="7"/>
  <c r="O54" i="7"/>
  <c r="M54" i="7"/>
  <c r="L54" i="7"/>
  <c r="K54" i="7"/>
  <c r="J54" i="7"/>
  <c r="I54" i="7"/>
  <c r="H54" i="7"/>
  <c r="G54" i="7"/>
  <c r="F54" i="7"/>
  <c r="E54" i="7"/>
  <c r="D54" i="7"/>
  <c r="C54" i="7"/>
  <c r="P50" i="7"/>
  <c r="N50" i="7"/>
  <c r="P49" i="7"/>
  <c r="N49" i="7"/>
  <c r="P48" i="7"/>
  <c r="N48" i="7"/>
  <c r="P47" i="7"/>
  <c r="N47" i="7"/>
  <c r="P46" i="7"/>
  <c r="N46" i="7"/>
  <c r="P45" i="7"/>
  <c r="N45" i="7"/>
  <c r="P44" i="7"/>
  <c r="N44" i="7"/>
  <c r="P43" i="7"/>
  <c r="N43" i="7"/>
  <c r="P42" i="7"/>
  <c r="N42" i="7"/>
  <c r="P41" i="7"/>
  <c r="N41" i="7"/>
  <c r="P40" i="7"/>
  <c r="N40" i="7"/>
  <c r="P39" i="7"/>
  <c r="N39" i="7"/>
  <c r="P38" i="7"/>
  <c r="N38" i="7"/>
  <c r="P37" i="7"/>
  <c r="N37" i="7"/>
  <c r="P36" i="7"/>
  <c r="N36" i="7"/>
  <c r="P35" i="7"/>
  <c r="N35" i="7"/>
  <c r="P34" i="7"/>
  <c r="N34" i="7"/>
  <c r="P33" i="7"/>
  <c r="N33" i="7"/>
  <c r="P32" i="7"/>
  <c r="N32" i="7"/>
  <c r="P31" i="7"/>
  <c r="N31" i="7"/>
  <c r="P30" i="7"/>
  <c r="N30" i="7"/>
  <c r="P29" i="7"/>
  <c r="N29" i="7"/>
  <c r="P28" i="7"/>
  <c r="N28" i="7"/>
  <c r="P27" i="7"/>
  <c r="N27" i="7"/>
  <c r="P26" i="7"/>
  <c r="N26" i="7"/>
  <c r="P25" i="7"/>
  <c r="N25" i="7"/>
  <c r="P24" i="7"/>
  <c r="N24" i="7"/>
  <c r="P23" i="7"/>
  <c r="N23" i="7"/>
  <c r="P22" i="7"/>
  <c r="N22" i="7"/>
  <c r="P21" i="7"/>
  <c r="N21" i="7"/>
  <c r="P20" i="7"/>
  <c r="N20" i="7"/>
  <c r="P19" i="7"/>
  <c r="P56" i="7" s="1"/>
  <c r="N19" i="7"/>
  <c r="N56" i="7" s="1"/>
  <c r="P18" i="7"/>
  <c r="N18" i="7"/>
  <c r="P17" i="7"/>
  <c r="N17" i="7"/>
  <c r="P16" i="7"/>
  <c r="N16" i="7"/>
  <c r="P15" i="7"/>
  <c r="N15" i="7"/>
  <c r="P14" i="7"/>
  <c r="N14" i="7"/>
  <c r="P13" i="7"/>
  <c r="N13" i="7"/>
  <c r="P12" i="7"/>
  <c r="N12" i="7"/>
  <c r="P11" i="7"/>
  <c r="N11" i="7"/>
  <c r="P10" i="7"/>
  <c r="N10" i="7"/>
  <c r="P9" i="7"/>
  <c r="N9" i="7"/>
  <c r="P8" i="7"/>
  <c r="P55" i="7" s="1"/>
  <c r="N8" i="7"/>
  <c r="N55" i="7" s="1"/>
  <c r="P7" i="7"/>
  <c r="N7" i="7"/>
  <c r="P6" i="7"/>
  <c r="N6" i="7"/>
  <c r="P5" i="7"/>
  <c r="N5" i="7"/>
  <c r="P4" i="7"/>
  <c r="N4" i="7"/>
  <c r="P3" i="7"/>
  <c r="P54" i="7" s="1"/>
  <c r="N3" i="7"/>
  <c r="N54" i="7" s="1"/>
  <c r="P2" i="7"/>
  <c r="N2" i="7"/>
  <c r="N51" i="7" s="1"/>
  <c r="O354" i="1" l="1"/>
  <c r="O367" i="1"/>
  <c r="M377" i="1"/>
  <c r="K377" i="1"/>
  <c r="O362" i="1"/>
  <c r="O359" i="1"/>
  <c r="O348" i="1"/>
  <c r="O352" i="1"/>
  <c r="O340" i="1"/>
  <c r="L322" i="1"/>
  <c r="N322" i="1" s="1"/>
  <c r="N321" i="1"/>
  <c r="N317" i="1"/>
  <c r="N309" i="1"/>
  <c r="N311" i="1"/>
  <c r="N325" i="1"/>
  <c r="N319" i="1"/>
  <c r="N327" i="1"/>
  <c r="L328" i="1"/>
  <c r="J328" i="1"/>
  <c r="L320" i="1"/>
  <c r="J320" i="1"/>
  <c r="L310" i="1"/>
  <c r="J310" i="1"/>
  <c r="I330" i="1"/>
  <c r="N299" i="1"/>
  <c r="N308" i="1"/>
  <c r="G242" i="1"/>
  <c r="O336" i="1" l="1"/>
  <c r="O377" i="1" s="1"/>
  <c r="N310" i="1"/>
  <c r="N320" i="1"/>
  <c r="N328" i="1"/>
  <c r="L330" i="1"/>
  <c r="J330" i="1"/>
  <c r="N289" i="1"/>
  <c r="M283" i="1"/>
  <c r="K283" i="1"/>
  <c r="G283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N330" i="1" l="1"/>
  <c r="J253" i="1"/>
  <c r="L253" i="1"/>
  <c r="L257" i="1"/>
  <c r="J257" i="1"/>
  <c r="J261" i="1"/>
  <c r="L261" i="1"/>
  <c r="L265" i="1"/>
  <c r="J265" i="1"/>
  <c r="J269" i="1"/>
  <c r="L269" i="1"/>
  <c r="J273" i="1"/>
  <c r="L273" i="1"/>
  <c r="J277" i="1"/>
  <c r="L277" i="1"/>
  <c r="N277" i="1" s="1"/>
  <c r="J281" i="1"/>
  <c r="L281" i="1"/>
  <c r="L246" i="1"/>
  <c r="J246" i="1"/>
  <c r="L250" i="1"/>
  <c r="J250" i="1"/>
  <c r="L254" i="1"/>
  <c r="J254" i="1"/>
  <c r="L258" i="1"/>
  <c r="J258" i="1"/>
  <c r="L262" i="1"/>
  <c r="J262" i="1"/>
  <c r="L266" i="1"/>
  <c r="J266" i="1"/>
  <c r="L270" i="1"/>
  <c r="J270" i="1"/>
  <c r="L274" i="1"/>
  <c r="J274" i="1"/>
  <c r="L278" i="1"/>
  <c r="J278" i="1"/>
  <c r="J245" i="1"/>
  <c r="L245" i="1"/>
  <c r="L243" i="1"/>
  <c r="J243" i="1"/>
  <c r="L247" i="1"/>
  <c r="J247" i="1"/>
  <c r="L251" i="1"/>
  <c r="J251" i="1"/>
  <c r="L255" i="1"/>
  <c r="J255" i="1"/>
  <c r="L259" i="1"/>
  <c r="J259" i="1"/>
  <c r="L263" i="1"/>
  <c r="J263" i="1"/>
  <c r="L267" i="1"/>
  <c r="J267" i="1"/>
  <c r="L271" i="1"/>
  <c r="J271" i="1"/>
  <c r="L275" i="1"/>
  <c r="J275" i="1"/>
  <c r="L279" i="1"/>
  <c r="J279" i="1"/>
  <c r="L249" i="1"/>
  <c r="J249" i="1"/>
  <c r="L244" i="1"/>
  <c r="J244" i="1"/>
  <c r="L248" i="1"/>
  <c r="J248" i="1"/>
  <c r="L252" i="1"/>
  <c r="J252" i="1"/>
  <c r="L256" i="1"/>
  <c r="J256" i="1"/>
  <c r="L260" i="1"/>
  <c r="J260" i="1"/>
  <c r="L264" i="1"/>
  <c r="J264" i="1"/>
  <c r="L268" i="1"/>
  <c r="J268" i="1"/>
  <c r="L272" i="1"/>
  <c r="J272" i="1"/>
  <c r="L276" i="1"/>
  <c r="J276" i="1"/>
  <c r="L280" i="1"/>
  <c r="J280" i="1"/>
  <c r="N253" i="1"/>
  <c r="N269" i="1"/>
  <c r="I283" i="1"/>
  <c r="M236" i="1"/>
  <c r="K236" i="1"/>
  <c r="G236" i="1"/>
  <c r="I234" i="1"/>
  <c r="L234" i="1" s="1"/>
  <c r="I233" i="1"/>
  <c r="L233" i="1" s="1"/>
  <c r="I232" i="1"/>
  <c r="I231" i="1"/>
  <c r="L231" i="1" s="1"/>
  <c r="I230" i="1"/>
  <c r="L230" i="1" s="1"/>
  <c r="I229" i="1"/>
  <c r="L229" i="1" s="1"/>
  <c r="I228" i="1"/>
  <c r="I227" i="1"/>
  <c r="L227" i="1" s="1"/>
  <c r="I226" i="1"/>
  <c r="L226" i="1" s="1"/>
  <c r="I225" i="1"/>
  <c r="L225" i="1" s="1"/>
  <c r="I224" i="1"/>
  <c r="I223" i="1"/>
  <c r="L223" i="1" s="1"/>
  <c r="I222" i="1"/>
  <c r="L222" i="1" s="1"/>
  <c r="J221" i="1"/>
  <c r="I221" i="1"/>
  <c r="L221" i="1" s="1"/>
  <c r="I220" i="1"/>
  <c r="I219" i="1"/>
  <c r="L219" i="1" s="1"/>
  <c r="I218" i="1"/>
  <c r="L218" i="1" s="1"/>
  <c r="I217" i="1"/>
  <c r="L217" i="1" s="1"/>
  <c r="I216" i="1"/>
  <c r="I215" i="1"/>
  <c r="L215" i="1" s="1"/>
  <c r="I214" i="1"/>
  <c r="L214" i="1" s="1"/>
  <c r="I213" i="1"/>
  <c r="L213" i="1" s="1"/>
  <c r="I212" i="1"/>
  <c r="I211" i="1"/>
  <c r="L211" i="1" s="1"/>
  <c r="I210" i="1"/>
  <c r="L210" i="1" s="1"/>
  <c r="I209" i="1"/>
  <c r="L209" i="1" s="1"/>
  <c r="I208" i="1"/>
  <c r="I207" i="1"/>
  <c r="L207" i="1" s="1"/>
  <c r="I206" i="1"/>
  <c r="L206" i="1" s="1"/>
  <c r="I205" i="1"/>
  <c r="L205" i="1" s="1"/>
  <c r="I204" i="1"/>
  <c r="I203" i="1"/>
  <c r="L203" i="1" s="1"/>
  <c r="I202" i="1"/>
  <c r="L202" i="1" s="1"/>
  <c r="I201" i="1"/>
  <c r="L201" i="1" s="1"/>
  <c r="I200" i="1"/>
  <c r="I199" i="1"/>
  <c r="L199" i="1" s="1"/>
  <c r="I198" i="1"/>
  <c r="L198" i="1" s="1"/>
  <c r="J197" i="1"/>
  <c r="I197" i="1"/>
  <c r="L197" i="1" s="1"/>
  <c r="I196" i="1"/>
  <c r="I195" i="1"/>
  <c r="L195" i="1" s="1"/>
  <c r="J205" i="1" l="1"/>
  <c r="J213" i="1"/>
  <c r="J204" i="1"/>
  <c r="L204" i="1"/>
  <c r="J220" i="1"/>
  <c r="L220" i="1"/>
  <c r="N220" i="1" s="1"/>
  <c r="J208" i="1"/>
  <c r="L208" i="1"/>
  <c r="N208" i="1" s="1"/>
  <c r="J211" i="1"/>
  <c r="J224" i="1"/>
  <c r="N224" i="1" s="1"/>
  <c r="L224" i="1"/>
  <c r="J227" i="1"/>
  <c r="N227" i="1" s="1"/>
  <c r="N247" i="1"/>
  <c r="J196" i="1"/>
  <c r="N196" i="1" s="1"/>
  <c r="L196" i="1"/>
  <c r="J212" i="1"/>
  <c r="N212" i="1" s="1"/>
  <c r="L212" i="1"/>
  <c r="J228" i="1"/>
  <c r="N228" i="1" s="1"/>
  <c r="L228" i="1"/>
  <c r="J232" i="1"/>
  <c r="L232" i="1"/>
  <c r="J200" i="1"/>
  <c r="N200" i="1" s="1"/>
  <c r="L200" i="1"/>
  <c r="J203" i="1"/>
  <c r="N203" i="1" s="1"/>
  <c r="J216" i="1"/>
  <c r="L216" i="1"/>
  <c r="J219" i="1"/>
  <c r="N261" i="1"/>
  <c r="N280" i="1"/>
  <c r="N272" i="1"/>
  <c r="N264" i="1"/>
  <c r="N256" i="1"/>
  <c r="N248" i="1"/>
  <c r="N249" i="1"/>
  <c r="N275" i="1"/>
  <c r="N267" i="1"/>
  <c r="N259" i="1"/>
  <c r="N251" i="1"/>
  <c r="N243" i="1"/>
  <c r="N278" i="1"/>
  <c r="N270" i="1"/>
  <c r="N262" i="1"/>
  <c r="N254" i="1"/>
  <c r="N246" i="1"/>
  <c r="N281" i="1"/>
  <c r="N273" i="1"/>
  <c r="N265" i="1"/>
  <c r="N257" i="1"/>
  <c r="N276" i="1"/>
  <c r="N268" i="1"/>
  <c r="N260" i="1"/>
  <c r="N252" i="1"/>
  <c r="N244" i="1"/>
  <c r="N279" i="1"/>
  <c r="N271" i="1"/>
  <c r="N263" i="1"/>
  <c r="N255" i="1"/>
  <c r="N245" i="1"/>
  <c r="N274" i="1"/>
  <c r="N266" i="1"/>
  <c r="N258" i="1"/>
  <c r="N250" i="1"/>
  <c r="L283" i="1"/>
  <c r="J207" i="1"/>
  <c r="N207" i="1" s="1"/>
  <c r="J209" i="1"/>
  <c r="J223" i="1"/>
  <c r="N223" i="1" s="1"/>
  <c r="J225" i="1"/>
  <c r="N225" i="1" s="1"/>
  <c r="J231" i="1"/>
  <c r="J199" i="1"/>
  <c r="N199" i="1" s="1"/>
  <c r="J201" i="1"/>
  <c r="N204" i="1"/>
  <c r="J215" i="1"/>
  <c r="J217" i="1"/>
  <c r="N232" i="1"/>
  <c r="I236" i="1"/>
  <c r="J198" i="1"/>
  <c r="N198" i="1" s="1"/>
  <c r="J202" i="1"/>
  <c r="N202" i="1" s="1"/>
  <c r="J206" i="1"/>
  <c r="N206" i="1" s="1"/>
  <c r="J210" i="1"/>
  <c r="N210" i="1" s="1"/>
  <c r="J214" i="1"/>
  <c r="N214" i="1" s="1"/>
  <c r="J218" i="1"/>
  <c r="N218" i="1" s="1"/>
  <c r="J222" i="1"/>
  <c r="N222" i="1" s="1"/>
  <c r="J226" i="1"/>
  <c r="N226" i="1" s="1"/>
  <c r="J230" i="1"/>
  <c r="N230" i="1" s="1"/>
  <c r="J234" i="1"/>
  <c r="N234" i="1" s="1"/>
  <c r="N217" i="1"/>
  <c r="N221" i="1"/>
  <c r="J229" i="1"/>
  <c r="N229" i="1" s="1"/>
  <c r="J233" i="1"/>
  <c r="N233" i="1" s="1"/>
  <c r="N197" i="1"/>
  <c r="N201" i="1"/>
  <c r="N205" i="1"/>
  <c r="N209" i="1"/>
  <c r="N213" i="1"/>
  <c r="J195" i="1"/>
  <c r="J283" i="1"/>
  <c r="N242" i="1"/>
  <c r="N211" i="1"/>
  <c r="N215" i="1"/>
  <c r="N219" i="1"/>
  <c r="N231" i="1"/>
  <c r="M189" i="1"/>
  <c r="G189" i="1"/>
  <c r="I187" i="1"/>
  <c r="L187" i="1" s="1"/>
  <c r="I186" i="1"/>
  <c r="L186" i="1" s="1"/>
  <c r="I185" i="1"/>
  <c r="L185" i="1" s="1"/>
  <c r="I184" i="1"/>
  <c r="L184" i="1" s="1"/>
  <c r="I183" i="1"/>
  <c r="L183" i="1" s="1"/>
  <c r="I182" i="1"/>
  <c r="L182" i="1" s="1"/>
  <c r="I181" i="1"/>
  <c r="L181" i="1" s="1"/>
  <c r="I180" i="1"/>
  <c r="L180" i="1" s="1"/>
  <c r="I179" i="1"/>
  <c r="L179" i="1" s="1"/>
  <c r="I178" i="1"/>
  <c r="L178" i="1" s="1"/>
  <c r="I177" i="1"/>
  <c r="L177" i="1" s="1"/>
  <c r="I176" i="1"/>
  <c r="L176" i="1" s="1"/>
  <c r="I175" i="1"/>
  <c r="L175" i="1" s="1"/>
  <c r="J174" i="1"/>
  <c r="I174" i="1"/>
  <c r="L174" i="1" s="1"/>
  <c r="I173" i="1"/>
  <c r="L173" i="1" s="1"/>
  <c r="I172" i="1"/>
  <c r="L172" i="1" s="1"/>
  <c r="I171" i="1"/>
  <c r="L171" i="1" s="1"/>
  <c r="I170" i="1"/>
  <c r="L170" i="1" s="1"/>
  <c r="I169" i="1"/>
  <c r="L169" i="1" s="1"/>
  <c r="I168" i="1"/>
  <c r="L168" i="1" s="1"/>
  <c r="I167" i="1"/>
  <c r="L167" i="1" s="1"/>
  <c r="J166" i="1"/>
  <c r="I166" i="1"/>
  <c r="L166" i="1" s="1"/>
  <c r="I165" i="1"/>
  <c r="L165" i="1" s="1"/>
  <c r="I164" i="1"/>
  <c r="L164" i="1" s="1"/>
  <c r="I163" i="1"/>
  <c r="L163" i="1" s="1"/>
  <c r="I162" i="1"/>
  <c r="L162" i="1" s="1"/>
  <c r="I161" i="1"/>
  <c r="L161" i="1" s="1"/>
  <c r="I160" i="1"/>
  <c r="L160" i="1" s="1"/>
  <c r="I159" i="1"/>
  <c r="L159" i="1" s="1"/>
  <c r="J158" i="1"/>
  <c r="I158" i="1"/>
  <c r="L158" i="1" s="1"/>
  <c r="I157" i="1"/>
  <c r="L157" i="1" s="1"/>
  <c r="I156" i="1"/>
  <c r="L156" i="1" s="1"/>
  <c r="I155" i="1"/>
  <c r="L155" i="1" s="1"/>
  <c r="I154" i="1"/>
  <c r="L154" i="1" s="1"/>
  <c r="I153" i="1"/>
  <c r="L153" i="1" s="1"/>
  <c r="I152" i="1"/>
  <c r="L152" i="1" s="1"/>
  <c r="I151" i="1"/>
  <c r="L151" i="1" s="1"/>
  <c r="J150" i="1"/>
  <c r="I150" i="1"/>
  <c r="L150" i="1" s="1"/>
  <c r="I149" i="1"/>
  <c r="L149" i="1" s="1"/>
  <c r="I148" i="1"/>
  <c r="L148" i="1" s="1"/>
  <c r="J162" i="1" l="1"/>
  <c r="N162" i="1" s="1"/>
  <c r="J178" i="1"/>
  <c r="N178" i="1" s="1"/>
  <c r="J183" i="1"/>
  <c r="J186" i="1"/>
  <c r="N186" i="1" s="1"/>
  <c r="L236" i="1"/>
  <c r="J154" i="1"/>
  <c r="N154" i="1" s="1"/>
  <c r="J170" i="1"/>
  <c r="N170" i="1" s="1"/>
  <c r="J179" i="1"/>
  <c r="N179" i="1" s="1"/>
  <c r="J182" i="1"/>
  <c r="J187" i="1"/>
  <c r="J149" i="1"/>
  <c r="N149" i="1" s="1"/>
  <c r="J153" i="1"/>
  <c r="N153" i="1" s="1"/>
  <c r="J165" i="1"/>
  <c r="N165" i="1" s="1"/>
  <c r="J169" i="1"/>
  <c r="N169" i="1" s="1"/>
  <c r="J173" i="1"/>
  <c r="N173" i="1" s="1"/>
  <c r="J177" i="1"/>
  <c r="N177" i="1" s="1"/>
  <c r="J181" i="1"/>
  <c r="N181" i="1" s="1"/>
  <c r="J185" i="1"/>
  <c r="N185" i="1" s="1"/>
  <c r="N216" i="1"/>
  <c r="J157" i="1"/>
  <c r="N157" i="1" s="1"/>
  <c r="J161" i="1"/>
  <c r="N161" i="1" s="1"/>
  <c r="J151" i="1"/>
  <c r="N151" i="1" s="1"/>
  <c r="J155" i="1"/>
  <c r="J159" i="1"/>
  <c r="J163" i="1"/>
  <c r="J167" i="1"/>
  <c r="N167" i="1" s="1"/>
  <c r="J171" i="1"/>
  <c r="J175" i="1"/>
  <c r="N175" i="1" s="1"/>
  <c r="L189" i="1"/>
  <c r="N283" i="1"/>
  <c r="J236" i="1"/>
  <c r="N195" i="1"/>
  <c r="N236" i="1" s="1"/>
  <c r="N150" i="1"/>
  <c r="N158" i="1"/>
  <c r="N166" i="1"/>
  <c r="N174" i="1"/>
  <c r="N182" i="1"/>
  <c r="N163" i="1"/>
  <c r="J148" i="1"/>
  <c r="J152" i="1"/>
  <c r="N155" i="1"/>
  <c r="J156" i="1"/>
  <c r="N156" i="1" s="1"/>
  <c r="N159" i="1"/>
  <c r="J160" i="1"/>
  <c r="J164" i="1"/>
  <c r="N164" i="1" s="1"/>
  <c r="J168" i="1"/>
  <c r="N171" i="1"/>
  <c r="J172" i="1"/>
  <c r="N172" i="1" s="1"/>
  <c r="J176" i="1"/>
  <c r="J180" i="1"/>
  <c r="N180" i="1" s="1"/>
  <c r="N183" i="1"/>
  <c r="J184" i="1"/>
  <c r="N187" i="1"/>
  <c r="I189" i="1"/>
  <c r="M141" i="1"/>
  <c r="N184" i="1" l="1"/>
  <c r="N176" i="1"/>
  <c r="N168" i="1"/>
  <c r="N160" i="1"/>
  <c r="N152" i="1"/>
  <c r="J189" i="1"/>
  <c r="N148" i="1"/>
  <c r="K189" i="1"/>
  <c r="G141" i="1"/>
  <c r="I139" i="1"/>
  <c r="L139" i="1" s="1"/>
  <c r="I138" i="1"/>
  <c r="J138" i="1" s="1"/>
  <c r="L137" i="1"/>
  <c r="I137" i="1"/>
  <c r="K137" i="1" s="1"/>
  <c r="I136" i="1"/>
  <c r="L136" i="1" s="1"/>
  <c r="I135" i="1"/>
  <c r="L135" i="1" s="1"/>
  <c r="I134" i="1"/>
  <c r="J134" i="1" s="1"/>
  <c r="I133" i="1"/>
  <c r="K133" i="1" s="1"/>
  <c r="I132" i="1"/>
  <c r="L132" i="1" s="1"/>
  <c r="K131" i="1"/>
  <c r="I131" i="1"/>
  <c r="L131" i="1" s="1"/>
  <c r="L130" i="1"/>
  <c r="I130" i="1"/>
  <c r="J130" i="1" s="1"/>
  <c r="I129" i="1"/>
  <c r="K129" i="1" s="1"/>
  <c r="I128" i="1"/>
  <c r="L128" i="1" s="1"/>
  <c r="I127" i="1"/>
  <c r="L127" i="1" s="1"/>
  <c r="I126" i="1"/>
  <c r="J126" i="1" s="1"/>
  <c r="I125" i="1"/>
  <c r="K125" i="1" s="1"/>
  <c r="I124" i="1"/>
  <c r="L124" i="1" s="1"/>
  <c r="I123" i="1"/>
  <c r="L123" i="1" s="1"/>
  <c r="I122" i="1"/>
  <c r="L122" i="1" s="1"/>
  <c r="I121" i="1"/>
  <c r="K121" i="1" s="1"/>
  <c r="I120" i="1"/>
  <c r="L120" i="1" s="1"/>
  <c r="I119" i="1"/>
  <c r="L119" i="1" s="1"/>
  <c r="I118" i="1"/>
  <c r="J118" i="1" s="1"/>
  <c r="I117" i="1"/>
  <c r="K117" i="1" s="1"/>
  <c r="I116" i="1"/>
  <c r="L116" i="1" s="1"/>
  <c r="I115" i="1"/>
  <c r="L115" i="1" s="1"/>
  <c r="I114" i="1"/>
  <c r="L114" i="1" s="1"/>
  <c r="I113" i="1"/>
  <c r="K113" i="1" s="1"/>
  <c r="I112" i="1"/>
  <c r="L112" i="1" s="1"/>
  <c r="I111" i="1"/>
  <c r="L111" i="1" s="1"/>
  <c r="I110" i="1"/>
  <c r="J110" i="1" s="1"/>
  <c r="I109" i="1"/>
  <c r="K109" i="1" s="1"/>
  <c r="I108" i="1"/>
  <c r="L108" i="1" s="1"/>
  <c r="I107" i="1"/>
  <c r="L107" i="1" s="1"/>
  <c r="I106" i="1"/>
  <c r="L106" i="1" s="1"/>
  <c r="I105" i="1"/>
  <c r="K105" i="1" s="1"/>
  <c r="I104" i="1"/>
  <c r="L104" i="1" s="1"/>
  <c r="I103" i="1"/>
  <c r="L103" i="1" s="1"/>
  <c r="K102" i="1"/>
  <c r="I102" i="1"/>
  <c r="J102" i="1" s="1"/>
  <c r="I101" i="1"/>
  <c r="K101" i="1" s="1"/>
  <c r="I100" i="1"/>
  <c r="L100" i="1" s="1"/>
  <c r="K110" i="1" l="1"/>
  <c r="K119" i="1"/>
  <c r="L126" i="1"/>
  <c r="J135" i="1"/>
  <c r="N135" i="1" s="1"/>
  <c r="K111" i="1"/>
  <c r="K118" i="1"/>
  <c r="L133" i="1"/>
  <c r="K135" i="1"/>
  <c r="K103" i="1"/>
  <c r="K130" i="1"/>
  <c r="N189" i="1"/>
  <c r="L101" i="1"/>
  <c r="L102" i="1"/>
  <c r="N102" i="1" s="1"/>
  <c r="J106" i="1"/>
  <c r="J107" i="1"/>
  <c r="L109" i="1"/>
  <c r="L110" i="1"/>
  <c r="N110" i="1" s="1"/>
  <c r="J114" i="1"/>
  <c r="J115" i="1"/>
  <c r="L117" i="1"/>
  <c r="L118" i="1"/>
  <c r="N118" i="1" s="1"/>
  <c r="J122" i="1"/>
  <c r="J123" i="1"/>
  <c r="L125" i="1"/>
  <c r="K134" i="1"/>
  <c r="J139" i="1"/>
  <c r="N139" i="1" s="1"/>
  <c r="K114" i="1"/>
  <c r="K115" i="1"/>
  <c r="K122" i="1"/>
  <c r="K123" i="1"/>
  <c r="J127" i="1"/>
  <c r="L129" i="1"/>
  <c r="L134" i="1"/>
  <c r="N134" i="1" s="1"/>
  <c r="K138" i="1"/>
  <c r="K139" i="1"/>
  <c r="K106" i="1"/>
  <c r="K107" i="1"/>
  <c r="J103" i="1"/>
  <c r="N103" i="1" s="1"/>
  <c r="L105" i="1"/>
  <c r="J111" i="1"/>
  <c r="N111" i="1" s="1"/>
  <c r="L113" i="1"/>
  <c r="J119" i="1"/>
  <c r="N119" i="1" s="1"/>
  <c r="L121" i="1"/>
  <c r="K126" i="1"/>
  <c r="N126" i="1" s="1"/>
  <c r="K127" i="1"/>
  <c r="N127" i="1" s="1"/>
  <c r="N130" i="1"/>
  <c r="J131" i="1"/>
  <c r="N131" i="1" s="1"/>
  <c r="L138" i="1"/>
  <c r="N123" i="1"/>
  <c r="J104" i="1"/>
  <c r="J108" i="1"/>
  <c r="J120" i="1"/>
  <c r="J124" i="1"/>
  <c r="J128" i="1"/>
  <c r="J132" i="1"/>
  <c r="J136" i="1"/>
  <c r="I141" i="1"/>
  <c r="J100" i="1"/>
  <c r="J112" i="1"/>
  <c r="J116" i="1"/>
  <c r="K100" i="1"/>
  <c r="J101" i="1"/>
  <c r="K104" i="1"/>
  <c r="J105" i="1"/>
  <c r="N105" i="1" s="1"/>
  <c r="K108" i="1"/>
  <c r="J109" i="1"/>
  <c r="K112" i="1"/>
  <c r="J113" i="1"/>
  <c r="N113" i="1" s="1"/>
  <c r="K116" i="1"/>
  <c r="J117" i="1"/>
  <c r="K120" i="1"/>
  <c r="J121" i="1"/>
  <c r="N121" i="1" s="1"/>
  <c r="K124" i="1"/>
  <c r="J125" i="1"/>
  <c r="K128" i="1"/>
  <c r="J129" i="1"/>
  <c r="K132" i="1"/>
  <c r="J133" i="1"/>
  <c r="N133" i="1" s="1"/>
  <c r="K136" i="1"/>
  <c r="J137" i="1"/>
  <c r="N137" i="1" s="1"/>
  <c r="M93" i="1"/>
  <c r="G93" i="1"/>
  <c r="I91" i="1"/>
  <c r="L91" i="1" s="1"/>
  <c r="I90" i="1"/>
  <c r="L90" i="1" s="1"/>
  <c r="I89" i="1"/>
  <c r="L89" i="1" s="1"/>
  <c r="I88" i="1"/>
  <c r="J88" i="1" s="1"/>
  <c r="I87" i="1"/>
  <c r="L87" i="1" s="1"/>
  <c r="I86" i="1"/>
  <c r="L86" i="1" s="1"/>
  <c r="K85" i="1"/>
  <c r="I85" i="1"/>
  <c r="J85" i="1" s="1"/>
  <c r="I84" i="1"/>
  <c r="J84" i="1" s="1"/>
  <c r="I83" i="1"/>
  <c r="L83" i="1" s="1"/>
  <c r="J82" i="1"/>
  <c r="I82" i="1"/>
  <c r="L82" i="1" s="1"/>
  <c r="J81" i="1"/>
  <c r="I81" i="1"/>
  <c r="L81" i="1" s="1"/>
  <c r="I80" i="1"/>
  <c r="J80" i="1" s="1"/>
  <c r="I79" i="1"/>
  <c r="L79" i="1" s="1"/>
  <c r="I78" i="1"/>
  <c r="L78" i="1" s="1"/>
  <c r="K77" i="1"/>
  <c r="I77" i="1"/>
  <c r="J77" i="1" s="1"/>
  <c r="L76" i="1"/>
  <c r="I76" i="1"/>
  <c r="J76" i="1" s="1"/>
  <c r="I75" i="1"/>
  <c r="L75" i="1" s="1"/>
  <c r="I74" i="1"/>
  <c r="L74" i="1" s="1"/>
  <c r="I73" i="1"/>
  <c r="L73" i="1" s="1"/>
  <c r="I72" i="1"/>
  <c r="J72" i="1" s="1"/>
  <c r="I71" i="1"/>
  <c r="L71" i="1" s="1"/>
  <c r="I70" i="1"/>
  <c r="L70" i="1" s="1"/>
  <c r="K69" i="1"/>
  <c r="I69" i="1"/>
  <c r="J69" i="1" s="1"/>
  <c r="I68" i="1"/>
  <c r="J68" i="1" s="1"/>
  <c r="I67" i="1"/>
  <c r="L67" i="1" s="1"/>
  <c r="J66" i="1"/>
  <c r="I66" i="1"/>
  <c r="L66" i="1" s="1"/>
  <c r="J65" i="1"/>
  <c r="I65" i="1"/>
  <c r="L65" i="1" s="1"/>
  <c r="I64" i="1"/>
  <c r="J64" i="1" s="1"/>
  <c r="I63" i="1"/>
  <c r="L63" i="1" s="1"/>
  <c r="I62" i="1"/>
  <c r="L62" i="1" s="1"/>
  <c r="K61" i="1"/>
  <c r="I61" i="1"/>
  <c r="J61" i="1" s="1"/>
  <c r="L60" i="1"/>
  <c r="I60" i="1"/>
  <c r="J60" i="1" s="1"/>
  <c r="I59" i="1"/>
  <c r="L59" i="1" s="1"/>
  <c r="J58" i="1"/>
  <c r="I58" i="1"/>
  <c r="L58" i="1" s="1"/>
  <c r="I57" i="1"/>
  <c r="L57" i="1" s="1"/>
  <c r="I56" i="1"/>
  <c r="J56" i="1" s="1"/>
  <c r="I55" i="1"/>
  <c r="L55" i="1" s="1"/>
  <c r="I54" i="1"/>
  <c r="L54" i="1" s="1"/>
  <c r="K53" i="1"/>
  <c r="I53" i="1"/>
  <c r="J53" i="1" s="1"/>
  <c r="I52" i="1"/>
  <c r="L52" i="1" s="1"/>
  <c r="J57" i="1" l="1"/>
  <c r="L61" i="1"/>
  <c r="J73" i="1"/>
  <c r="L77" i="1"/>
  <c r="N77" i="1" s="1"/>
  <c r="J89" i="1"/>
  <c r="N125" i="1"/>
  <c r="N117" i="1"/>
  <c r="N109" i="1"/>
  <c r="N101" i="1"/>
  <c r="N138" i="1"/>
  <c r="J74" i="1"/>
  <c r="J90" i="1"/>
  <c r="N129" i="1"/>
  <c r="K52" i="1"/>
  <c r="L53" i="1"/>
  <c r="N61" i="1"/>
  <c r="K68" i="1"/>
  <c r="L69" i="1"/>
  <c r="K84" i="1"/>
  <c r="N84" i="1" s="1"/>
  <c r="L85" i="1"/>
  <c r="N85" i="1" s="1"/>
  <c r="L68" i="1"/>
  <c r="L84" i="1"/>
  <c r="K60" i="1"/>
  <c r="N60" i="1" s="1"/>
  <c r="N69" i="1"/>
  <c r="K76" i="1"/>
  <c r="L141" i="1"/>
  <c r="N115" i="1"/>
  <c r="N107" i="1"/>
  <c r="K64" i="1"/>
  <c r="K65" i="1"/>
  <c r="N65" i="1" s="1"/>
  <c r="K72" i="1"/>
  <c r="K73" i="1"/>
  <c r="K80" i="1"/>
  <c r="K81" i="1"/>
  <c r="N81" i="1" s="1"/>
  <c r="K88" i="1"/>
  <c r="K89" i="1"/>
  <c r="N89" i="1" s="1"/>
  <c r="N132" i="1"/>
  <c r="N108" i="1"/>
  <c r="N122" i="1"/>
  <c r="N114" i="1"/>
  <c r="N106" i="1"/>
  <c r="N73" i="1"/>
  <c r="K56" i="1"/>
  <c r="K57" i="1"/>
  <c r="N57" i="1" s="1"/>
  <c r="L56" i="1"/>
  <c r="J62" i="1"/>
  <c r="L64" i="1"/>
  <c r="N64" i="1" s="1"/>
  <c r="J70" i="1"/>
  <c r="L72" i="1"/>
  <c r="N76" i="1"/>
  <c r="J78" i="1"/>
  <c r="L80" i="1"/>
  <c r="N80" i="1" s="1"/>
  <c r="J86" i="1"/>
  <c r="L88" i="1"/>
  <c r="I93" i="1"/>
  <c r="N53" i="1"/>
  <c r="N112" i="1"/>
  <c r="J141" i="1"/>
  <c r="N100" i="1"/>
  <c r="N128" i="1"/>
  <c r="N104" i="1"/>
  <c r="K141" i="1"/>
  <c r="L142" i="1" s="1"/>
  <c r="N124" i="1"/>
  <c r="N116" i="1"/>
  <c r="N136" i="1"/>
  <c r="N120" i="1"/>
  <c r="J54" i="1"/>
  <c r="J55" i="1"/>
  <c r="J59" i="1"/>
  <c r="J63" i="1"/>
  <c r="K66" i="1"/>
  <c r="N66" i="1" s="1"/>
  <c r="J67" i="1"/>
  <c r="K70" i="1"/>
  <c r="J71" i="1"/>
  <c r="K74" i="1"/>
  <c r="N74" i="1" s="1"/>
  <c r="J75" i="1"/>
  <c r="K78" i="1"/>
  <c r="N78" i="1" s="1"/>
  <c r="J79" i="1"/>
  <c r="K82" i="1"/>
  <c r="N82" i="1" s="1"/>
  <c r="J83" i="1"/>
  <c r="K86" i="1"/>
  <c r="J87" i="1"/>
  <c r="K90" i="1"/>
  <c r="J91" i="1"/>
  <c r="K54" i="1"/>
  <c r="K58" i="1"/>
  <c r="N58" i="1" s="1"/>
  <c r="K62" i="1"/>
  <c r="J52" i="1"/>
  <c r="K55" i="1"/>
  <c r="K59" i="1"/>
  <c r="K63" i="1"/>
  <c r="K67" i="1"/>
  <c r="K71" i="1"/>
  <c r="K75" i="1"/>
  <c r="K79" i="1"/>
  <c r="K83" i="1"/>
  <c r="K87" i="1"/>
  <c r="K91" i="1"/>
  <c r="Q40" i="4"/>
  <c r="Q41" i="4"/>
  <c r="N62" i="1" l="1"/>
  <c r="N90" i="1"/>
  <c r="N54" i="1"/>
  <c r="N68" i="1"/>
  <c r="N70" i="1"/>
  <c r="N56" i="1"/>
  <c r="N88" i="1"/>
  <c r="N72" i="1"/>
  <c r="N87" i="1"/>
  <c r="L93" i="1"/>
  <c r="K93" i="1"/>
  <c r="N86" i="1"/>
  <c r="N141" i="1"/>
  <c r="N79" i="1"/>
  <c r="N71" i="1"/>
  <c r="N63" i="1"/>
  <c r="N59" i="1"/>
  <c r="J93" i="1"/>
  <c r="N52" i="1"/>
  <c r="N91" i="1"/>
  <c r="N83" i="1"/>
  <c r="N75" i="1"/>
  <c r="N67" i="1"/>
  <c r="N55" i="1"/>
  <c r="Q39" i="2"/>
  <c r="Q40" i="2"/>
  <c r="Q41" i="2"/>
  <c r="I42" i="1"/>
  <c r="J42" i="1" s="1"/>
  <c r="I43" i="1"/>
  <c r="L43" i="1" s="1"/>
  <c r="G45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" i="1"/>
  <c r="L94" i="1" l="1"/>
  <c r="N93" i="1"/>
  <c r="J43" i="1"/>
  <c r="L42" i="1"/>
  <c r="K43" i="1"/>
  <c r="K42" i="1"/>
  <c r="N42" i="1" l="1"/>
  <c r="N43" i="1"/>
  <c r="F43" i="2"/>
  <c r="G43" i="2"/>
  <c r="H43" i="2"/>
  <c r="I43" i="2"/>
  <c r="J43" i="2"/>
  <c r="K43" i="2"/>
  <c r="L43" i="2"/>
  <c r="M43" i="2"/>
  <c r="N43" i="2"/>
  <c r="O43" i="2"/>
  <c r="P43" i="2"/>
  <c r="E43" i="2"/>
  <c r="Q38" i="2"/>
  <c r="F43" i="4"/>
  <c r="G43" i="4"/>
  <c r="H43" i="4"/>
  <c r="I43" i="4"/>
  <c r="J43" i="4"/>
  <c r="K43" i="4"/>
  <c r="L43" i="4"/>
  <c r="M43" i="4"/>
  <c r="N43" i="4"/>
  <c r="O43" i="4"/>
  <c r="P43" i="4"/>
  <c r="E43" i="4"/>
  <c r="Q38" i="4"/>
  <c r="Q39" i="4"/>
  <c r="K6" i="1"/>
  <c r="K5" i="1"/>
  <c r="J21" i="1"/>
  <c r="L22" i="1"/>
  <c r="L39" i="1"/>
  <c r="K40" i="1"/>
  <c r="J41" i="1"/>
  <c r="L7" i="1"/>
  <c r="J8" i="1"/>
  <c r="K8" i="1"/>
  <c r="L9" i="1"/>
  <c r="L10" i="1"/>
  <c r="J37" i="1"/>
  <c r="K23" i="1"/>
  <c r="K26" i="1"/>
  <c r="L12" i="1"/>
  <c r="L13" i="1"/>
  <c r="L14" i="1"/>
  <c r="K15" i="1"/>
  <c r="K16" i="1"/>
  <c r="K17" i="1"/>
  <c r="K19" i="1"/>
  <c r="K20" i="1"/>
  <c r="K18" i="1"/>
  <c r="K11" i="1"/>
  <c r="K35" i="1"/>
  <c r="K36" i="1"/>
  <c r="K27" i="1"/>
  <c r="K24" i="1"/>
  <c r="J25" i="1"/>
  <c r="L32" i="1"/>
  <c r="J34" i="1"/>
  <c r="K31" i="1"/>
  <c r="J31" i="1"/>
  <c r="K33" i="1"/>
  <c r="L30" i="1"/>
  <c r="K28" i="1"/>
  <c r="L29" i="1"/>
  <c r="J38" i="1"/>
  <c r="L23" i="1"/>
  <c r="L8" i="1"/>
  <c r="K13" i="1"/>
  <c r="J13" i="1"/>
  <c r="Q34" i="4"/>
  <c r="M45" i="1"/>
  <c r="Q36" i="4"/>
  <c r="K4" i="1"/>
  <c r="Q35" i="4"/>
  <c r="Q37" i="4"/>
  <c r="Q33" i="4"/>
  <c r="Q30" i="4"/>
  <c r="Q26" i="4"/>
  <c r="Q24" i="4"/>
  <c r="Q21" i="4"/>
  <c r="Q16" i="4"/>
  <c r="Q14" i="4"/>
  <c r="Q11" i="2"/>
  <c r="Q8" i="4"/>
  <c r="Q7" i="2"/>
  <c r="Q6" i="4"/>
  <c r="Q4" i="4"/>
  <c r="Q34" i="2"/>
  <c r="Q2" i="2"/>
  <c r="Q17" i="2"/>
  <c r="Q26" i="2"/>
  <c r="Q29" i="2"/>
  <c r="Q32" i="2"/>
  <c r="Q2" i="4"/>
  <c r="T2" i="4" s="1"/>
  <c r="U2" i="4" s="1"/>
  <c r="Q28" i="2"/>
  <c r="Q18" i="2"/>
  <c r="Q25" i="2"/>
  <c r="Q10" i="2"/>
  <c r="Q31" i="2"/>
  <c r="Q27" i="4"/>
  <c r="Q36" i="2"/>
  <c r="Q35" i="2"/>
  <c r="Q37" i="2"/>
  <c r="Q32" i="4"/>
  <c r="Q31" i="4"/>
  <c r="Q30" i="2"/>
  <c r="Q29" i="4"/>
  <c r="Q28" i="4"/>
  <c r="Q27" i="2"/>
  <c r="Q25" i="4"/>
  <c r="Q24" i="2"/>
  <c r="Q23" i="2"/>
  <c r="Q23" i="4"/>
  <c r="Q22" i="4"/>
  <c r="Q22" i="2"/>
  <c r="Q21" i="2"/>
  <c r="Q20" i="2"/>
  <c r="Q19" i="2"/>
  <c r="Q20" i="4"/>
  <c r="Q19" i="4"/>
  <c r="Q18" i="4"/>
  <c r="Q17" i="4"/>
  <c r="Q16" i="2"/>
  <c r="Q15" i="4"/>
  <c r="Q15" i="2"/>
  <c r="Q14" i="2"/>
  <c r="Q13" i="4"/>
  <c r="Q12" i="2"/>
  <c r="Q12" i="4"/>
  <c r="Q11" i="4"/>
  <c r="Q10" i="4"/>
  <c r="Q9" i="4"/>
  <c r="Q9" i="2"/>
  <c r="Q8" i="2"/>
  <c r="Q7" i="4"/>
  <c r="Q5" i="2"/>
  <c r="Q5" i="4"/>
  <c r="Q4" i="2"/>
  <c r="Q3" i="2"/>
  <c r="Q3" i="4"/>
  <c r="Q33" i="2"/>
  <c r="Q13" i="2"/>
  <c r="Q6" i="2"/>
  <c r="L19" i="1"/>
  <c r="K22" i="1"/>
  <c r="J19" i="1"/>
  <c r="J27" i="1"/>
  <c r="J18" i="1"/>
  <c r="L31" i="1"/>
  <c r="J39" i="1"/>
  <c r="L11" i="1"/>
  <c r="J11" i="1"/>
  <c r="K9" i="1"/>
  <c r="J33" i="1" l="1"/>
  <c r="L38" i="1"/>
  <c r="J10" i="1"/>
  <c r="K7" i="1"/>
  <c r="K38" i="1"/>
  <c r="J36" i="1"/>
  <c r="L36" i="1"/>
  <c r="K10" i="1"/>
  <c r="J23" i="1"/>
  <c r="N23" i="1" s="1"/>
  <c r="J9" i="1"/>
  <c r="N9" i="1" s="1"/>
  <c r="J29" i="1"/>
  <c r="L28" i="1"/>
  <c r="L33" i="1"/>
  <c r="J22" i="1"/>
  <c r="N22" i="1" s="1"/>
  <c r="L26" i="1"/>
  <c r="K29" i="1"/>
  <c r="K25" i="1"/>
  <c r="J28" i="1"/>
  <c r="J16" i="1"/>
  <c r="L35" i="1"/>
  <c r="L18" i="1"/>
  <c r="N18" i="1" s="1"/>
  <c r="L25" i="1"/>
  <c r="J26" i="1"/>
  <c r="N26" i="1" s="1"/>
  <c r="L15" i="1"/>
  <c r="L16" i="1"/>
  <c r="L27" i="1"/>
  <c r="N27" i="1" s="1"/>
  <c r="J15" i="1"/>
  <c r="K34" i="1"/>
  <c r="L37" i="1"/>
  <c r="J12" i="1"/>
  <c r="N31" i="1"/>
  <c r="L34" i="1"/>
  <c r="N11" i="1"/>
  <c r="K37" i="1"/>
  <c r="L4" i="1"/>
  <c r="K12" i="1"/>
  <c r="L17" i="1"/>
  <c r="N8" i="1"/>
  <c r="J40" i="1"/>
  <c r="L5" i="1"/>
  <c r="J32" i="1"/>
  <c r="J5" i="1"/>
  <c r="L40" i="1"/>
  <c r="K32" i="1"/>
  <c r="N13" i="1"/>
  <c r="J4" i="1"/>
  <c r="N19" i="1"/>
  <c r="L24" i="1"/>
  <c r="J30" i="1"/>
  <c r="J17" i="1"/>
  <c r="J14" i="1"/>
  <c r="J35" i="1"/>
  <c r="L41" i="1"/>
  <c r="I45" i="1"/>
  <c r="K30" i="1"/>
  <c r="J7" i="1"/>
  <c r="L20" i="1"/>
  <c r="K14" i="1"/>
  <c r="L21" i="1"/>
  <c r="K39" i="1"/>
  <c r="N39" i="1" s="1"/>
  <c r="J24" i="1"/>
  <c r="K21" i="1"/>
  <c r="K41" i="1"/>
  <c r="L6" i="1"/>
  <c r="J6" i="1"/>
  <c r="J20" i="1"/>
  <c r="Q43" i="4"/>
  <c r="Q43" i="2"/>
  <c r="N29" i="1" l="1"/>
  <c r="N33" i="1"/>
  <c r="N16" i="1"/>
  <c r="N36" i="1"/>
  <c r="N4" i="1"/>
  <c r="N15" i="1"/>
  <c r="N10" i="1"/>
  <c r="N35" i="1"/>
  <c r="N5" i="1"/>
  <c r="N7" i="1"/>
  <c r="N25" i="1"/>
  <c r="N38" i="1"/>
  <c r="N6" i="1"/>
  <c r="N28" i="1"/>
  <c r="N40" i="1"/>
  <c r="N41" i="1"/>
  <c r="N20" i="1"/>
  <c r="N17" i="1"/>
  <c r="N32" i="1"/>
  <c r="N37" i="1"/>
  <c r="K45" i="1"/>
  <c r="N34" i="1"/>
  <c r="N12" i="1"/>
  <c r="N21" i="1"/>
  <c r="N24" i="1"/>
  <c r="J45" i="1"/>
  <c r="L45" i="1"/>
  <c r="N30" i="1"/>
  <c r="N14" i="1"/>
  <c r="L46" i="1" l="1"/>
  <c r="N45" i="1"/>
</calcChain>
</file>

<file path=xl/sharedStrings.xml><?xml version="1.0" encoding="utf-8"?>
<sst xmlns="http://schemas.openxmlformats.org/spreadsheetml/2006/main" count="3118" uniqueCount="227">
  <si>
    <t>Projected Funded Pupil Count</t>
  </si>
  <si>
    <t>Projected Per Pupil Revenue</t>
  </si>
  <si>
    <t>TOTAL FUNDING FROM PUBLIC SCHOOL FINANCE ACT</t>
  </si>
  <si>
    <t>Monthly Entitlement</t>
  </si>
  <si>
    <t>Withholding for CDE Administrative Overhead @ 1%</t>
  </si>
  <si>
    <t>Withholding for Institute Administrative Overhead @ 3%</t>
  </si>
  <si>
    <t>Amount to be Distributed to Institute Charter Schools</t>
  </si>
  <si>
    <t>Pinnacle Charter School</t>
  </si>
  <si>
    <t>Commerce City</t>
  </si>
  <si>
    <t>Community Leadership Academy</t>
  </si>
  <si>
    <t xml:space="preserve">Academy at High Point </t>
  </si>
  <si>
    <t>Early College of Arvada</t>
  </si>
  <si>
    <t>Ricardo Flores Magnon Academy</t>
  </si>
  <si>
    <t>Eagle</t>
  </si>
  <si>
    <t xml:space="preserve">Stone Creek Elementary </t>
  </si>
  <si>
    <t>Colo Springs</t>
  </si>
  <si>
    <t>Maclaren Charter School</t>
  </si>
  <si>
    <t>Colorado Springs Charter Academy</t>
  </si>
  <si>
    <t>Colorado Springs Early Colleges</t>
  </si>
  <si>
    <t>Roaring Fork</t>
  </si>
  <si>
    <t xml:space="preserve">Ross Montessori </t>
  </si>
  <si>
    <t>Durango</t>
  </si>
  <si>
    <t>Animas Charter School</t>
  </si>
  <si>
    <t>Mountain Middle School</t>
  </si>
  <si>
    <t>Poudre</t>
  </si>
  <si>
    <t>Mesa 51</t>
  </si>
  <si>
    <t>Caprock Academy</t>
  </si>
  <si>
    <t>Early Colleges Ft. Collins</t>
  </si>
  <si>
    <t>Treasurer's Intercept Program</t>
  </si>
  <si>
    <t>Aurora</t>
  </si>
  <si>
    <t>Montessori del Mundo</t>
  </si>
  <si>
    <t>GVA - Colorado Springs</t>
  </si>
  <si>
    <t>Mountain Song Community School</t>
  </si>
  <si>
    <t>James Irwin - Colorado Springs</t>
  </si>
  <si>
    <t>The Academy of Charter Schools</t>
  </si>
  <si>
    <t>New America School</t>
  </si>
  <si>
    <t>Colorado Early Colleges Douglas</t>
  </si>
  <si>
    <t>Two Rivers Charter School</t>
  </si>
  <si>
    <t>School Code</t>
  </si>
  <si>
    <t>School Name</t>
  </si>
  <si>
    <t>Salida</t>
  </si>
  <si>
    <t>Salida Montessori</t>
  </si>
  <si>
    <t>New Legacy High School</t>
  </si>
  <si>
    <t>0654;6913;6914</t>
  </si>
  <si>
    <t>0015</t>
  </si>
  <si>
    <t>1882;9037;9040</t>
  </si>
  <si>
    <t>0655</t>
  </si>
  <si>
    <t>2837</t>
  </si>
  <si>
    <t>7278</t>
  </si>
  <si>
    <t>5957</t>
  </si>
  <si>
    <t>6219</t>
  </si>
  <si>
    <t>2196</t>
  </si>
  <si>
    <t>0653</t>
  </si>
  <si>
    <t>8825</t>
  </si>
  <si>
    <t>1791</t>
  </si>
  <si>
    <t>1795</t>
  </si>
  <si>
    <t>3326</t>
  </si>
  <si>
    <t>5851</t>
  </si>
  <si>
    <t>4403</t>
  </si>
  <si>
    <t>7512</t>
  </si>
  <si>
    <t>8821</t>
  </si>
  <si>
    <t>0075</t>
  </si>
  <si>
    <t>5453</t>
  </si>
  <si>
    <t>0657</t>
  </si>
  <si>
    <t>2067</t>
  </si>
  <si>
    <t>1279</t>
  </si>
  <si>
    <t>Crown Pointe</t>
  </si>
  <si>
    <t>2035</t>
  </si>
  <si>
    <t>3439</t>
  </si>
  <si>
    <t>GVA - Northglenn</t>
  </si>
  <si>
    <t>Launch High School</t>
  </si>
  <si>
    <t>5147</t>
  </si>
  <si>
    <t>Indian Peaks Charter</t>
  </si>
  <si>
    <t>4277</t>
  </si>
  <si>
    <t>5423</t>
  </si>
  <si>
    <t>Mountain Village Montessori</t>
  </si>
  <si>
    <t>Colorado Early Colleges Aurora</t>
  </si>
  <si>
    <t>Colorado Military Academy</t>
  </si>
  <si>
    <t>Monument View Montessori</t>
  </si>
  <si>
    <t>1505</t>
  </si>
  <si>
    <t>1633</t>
  </si>
  <si>
    <t>5845</t>
  </si>
  <si>
    <t>8061</t>
  </si>
  <si>
    <t>Golden View Charter Academy</t>
  </si>
  <si>
    <t>Jefferson</t>
  </si>
  <si>
    <t>District 27J</t>
  </si>
  <si>
    <t>Adams</t>
  </si>
  <si>
    <t>Douglas</t>
  </si>
  <si>
    <t>Mesa</t>
  </si>
  <si>
    <t>Arapahoe</t>
  </si>
  <si>
    <t>El Paso</t>
  </si>
  <si>
    <t>La Plata</t>
  </si>
  <si>
    <t>Larimer</t>
  </si>
  <si>
    <t>Garfield</t>
  </si>
  <si>
    <t>Chaffee</t>
  </si>
  <si>
    <t>Routt</t>
  </si>
  <si>
    <t>3393</t>
  </si>
  <si>
    <t>6266;3513</t>
  </si>
  <si>
    <t>July</t>
  </si>
  <si>
    <t>County</t>
  </si>
  <si>
    <t>District</t>
  </si>
  <si>
    <t>School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</si>
  <si>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</si>
  <si>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</si>
  <si>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</si>
  <si>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</si>
  <si>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</si>
  <si>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</si>
  <si>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</si>
  <si>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</si>
  <si>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</si>
  <si>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</si>
  <si>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</si>
  <si>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to Date</t>
  </si>
  <si>
    <t>5431</t>
  </si>
  <si>
    <t>0493</t>
  </si>
  <si>
    <t>0149</t>
  </si>
  <si>
    <t>1387</t>
  </si>
  <si>
    <t>1371</t>
  </si>
  <si>
    <t>Coperni 3</t>
  </si>
  <si>
    <t>Axis International Academy</t>
  </si>
  <si>
    <t>Colorado Early Colleges Windsor</t>
  </si>
  <si>
    <t>Colorado Early Colleges Fort Collins West</t>
  </si>
  <si>
    <t xml:space="preserve">Academy of Arts &amp; Knowledge </t>
  </si>
  <si>
    <t>Coperni 2</t>
  </si>
  <si>
    <t>Totals</t>
  </si>
  <si>
    <t>District Code</t>
  </si>
  <si>
    <t>SCHOOL_CODE</t>
  </si>
  <si>
    <t>CSI_K_12_FTE_CNT</t>
  </si>
  <si>
    <t>CSI_KIND_FTE_CNT</t>
  </si>
  <si>
    <t>CSI_HALF_DAY_KIND</t>
  </si>
  <si>
    <t>CSI_ONLINE_CNT</t>
  </si>
  <si>
    <t>CSI_CPP_CNT</t>
  </si>
  <si>
    <t>CSI_SPECED_CNT</t>
  </si>
  <si>
    <t>CSI_ASCENT_CNT</t>
  </si>
  <si>
    <t>CSI_FL_1_8_CNT</t>
  </si>
  <si>
    <t>CSI_FL_K_12_CNT</t>
  </si>
  <si>
    <t>CSI_MEM_1_8_CNT</t>
  </si>
  <si>
    <t>CSI_MEM_K_12_CNT</t>
  </si>
  <si>
    <t>FPC</t>
  </si>
  <si>
    <t>ELL</t>
  </si>
  <si>
    <t>TOT_AT_RISK</t>
  </si>
  <si>
    <t>0020</t>
  </si>
  <si>
    <t>0654</t>
  </si>
  <si>
    <t>4699</t>
  </si>
  <si>
    <t>6913</t>
  </si>
  <si>
    <t>6914</t>
  </si>
  <si>
    <t>0030</t>
  </si>
  <si>
    <t>1882</t>
  </si>
  <si>
    <t>9037</t>
  </si>
  <si>
    <t>9040</t>
  </si>
  <si>
    <t>0040</t>
  </si>
  <si>
    <t>0070</t>
  </si>
  <si>
    <t>0180</t>
  </si>
  <si>
    <t>3513</t>
  </si>
  <si>
    <t>6266</t>
  </si>
  <si>
    <t>0500</t>
  </si>
  <si>
    <t>0900</t>
  </si>
  <si>
    <t>0910</t>
  </si>
  <si>
    <t>0970</t>
  </si>
  <si>
    <t>0035</t>
  </si>
  <si>
    <t>1010</t>
  </si>
  <si>
    <t>1180</t>
  </si>
  <si>
    <t>1350</t>
  </si>
  <si>
    <t>1420</t>
  </si>
  <si>
    <t>1520</t>
  </si>
  <si>
    <t>1550</t>
  </si>
  <si>
    <t>3399</t>
  </si>
  <si>
    <t>2000</t>
  </si>
  <si>
    <t>2770</t>
  </si>
  <si>
    <t>FY 2020-21 Charter School Institute Funding by School</t>
  </si>
  <si>
    <t>JULY 2020 PAYMENT</t>
  </si>
  <si>
    <t>Adams 12</t>
  </si>
  <si>
    <t>0079</t>
  </si>
  <si>
    <t>1005</t>
  </si>
  <si>
    <t>Steamboat</t>
  </si>
  <si>
    <t>Wesminster 50</t>
  </si>
  <si>
    <t>Academy Of Charter Schools</t>
  </si>
  <si>
    <t>Global Village Academy - Northglenn</t>
  </si>
  <si>
    <t>The Pinnacle Charter School</t>
  </si>
  <si>
    <t>Colorado Early Colleges - Aurora</t>
  </si>
  <si>
    <t>Montessori Del Mundo Charter School</t>
  </si>
  <si>
    <t>New America School - Lowry</t>
  </si>
  <si>
    <t>New Legacy Charter School</t>
  </si>
  <si>
    <t>High Point Academy</t>
  </si>
  <si>
    <t>Community Leadership Academy/Victory Prep</t>
  </si>
  <si>
    <t xml:space="preserve">Colorado Early Colleges - Colorado Springs </t>
  </si>
  <si>
    <t>Colorado International Language Academy</t>
  </si>
  <si>
    <t>James Irwin Charter Academy</t>
  </si>
  <si>
    <t>Thomas Maclaren State Charter School</t>
  </si>
  <si>
    <t>Ascent Classical Academies Dougco</t>
  </si>
  <si>
    <t>Colorado Early Colleges - Douglas County</t>
  </si>
  <si>
    <t>Animas High School</t>
  </si>
  <si>
    <t>Stone Creek School</t>
  </si>
  <si>
    <t>Monument View Montessori Charter School</t>
  </si>
  <si>
    <t>Academy Of Arts &amp; Knowledge</t>
  </si>
  <si>
    <t>Ascent Classical Academies Noco</t>
  </si>
  <si>
    <t>Colorado Early College - Windsor</t>
  </si>
  <si>
    <t>Colorado Early College - Fort Collins</t>
  </si>
  <si>
    <t>Colorado Early College - Fort Collins West</t>
  </si>
  <si>
    <t>Ross Montessori School</t>
  </si>
  <si>
    <t>Two Rivers Community School</t>
  </si>
  <si>
    <t>Salida Montessori Charter School</t>
  </si>
  <si>
    <t>Mountain Village Montessori Charter School</t>
  </si>
  <si>
    <t>Crown Pointe Charter Academy</t>
  </si>
  <si>
    <t>Early College Of Arvada</t>
  </si>
  <si>
    <t>Ricardo Flores Magon Academy</t>
  </si>
  <si>
    <t>AUGUST 2020 PAYMENT</t>
  </si>
  <si>
    <t>SEPTEMBER 2020 PAYMENT</t>
  </si>
  <si>
    <t>OCTOBER 2020 PAYMENT</t>
  </si>
  <si>
    <t>NOVEMBER 2020 PAYMENT</t>
  </si>
  <si>
    <t>DECEMBER 2020 PAYMENT</t>
  </si>
  <si>
    <t>Ascent Classical Academies NoCo</t>
  </si>
  <si>
    <t>JANUARY 2021 PAYMENT</t>
  </si>
  <si>
    <t>FEBRUARY 2021 PAYMENT</t>
  </si>
  <si>
    <t>ASCENT
Pupil
Count</t>
  </si>
  <si>
    <t>ASCENT PPR =</t>
  </si>
  <si>
    <t>MARCH 2021 PAYMENT</t>
  </si>
  <si>
    <t>APRIL 2021 PAYMENT</t>
  </si>
  <si>
    <t>MAY 2021 PAYMENT</t>
  </si>
  <si>
    <t>JUNE 2021 PAYMENT</t>
  </si>
  <si>
    <t>Annual Entitlement</t>
  </si>
  <si>
    <t>Difference</t>
  </si>
  <si>
    <t>June Payment Owed</t>
  </si>
  <si>
    <t>Annual 3%</t>
  </si>
  <si>
    <t>June Withholding</t>
  </si>
  <si>
    <t>Differrence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</si>
</sst>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0" fontId="1" fillId="0" borderId="0"/>
    <xf numFmtId="4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0" fontId="1" fillId="0" borderId="0"/>
    <xf numFmtId="40" fontId="1" fillId="0" borderId="0"/>
    <xf numFmtId="40" fontId="1" fillId="0" borderId="0"/>
    <xf numFmtId="4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</cellStyleXfs>
  <cellXfs count="51">
    <xf numFmtId="0" fontId="0" fillId="0" borderId="0" xfId="0"/>
    <xf numFmtId="40" fontId="2" fillId="0" borderId="0" xfId="5" applyFont="1"/>
    <xf numFmtId="40" fontId="2" fillId="0" borderId="0" xfId="5" applyNumberFormat="1" applyFont="1" applyBorder="1" applyAlignment="1">
      <alignment wrapText="1"/>
    </xf>
    <xf numFmtId="40" fontId="2" fillId="0" borderId="0" xfId="5" applyFont="1" applyBorder="1" applyAlignment="1">
      <alignment wrapText="1"/>
    </xf>
    <xf numFmtId="0" fontId="2" fillId="0" borderId="0" xfId="5" applyNumberFormat="1" applyFont="1"/>
    <xf numFmtId="40" fontId="2" fillId="0" borderId="0" xfId="5" applyFont="1" applyFill="1"/>
    <xf numFmtId="40" fontId="7" fillId="0" borderId="0" xfId="0" applyNumberFormat="1" applyFont="1" applyFill="1" applyBorder="1"/>
    <xf numFmtId="40" fontId="7" fillId="0" borderId="0" xfId="5" applyFont="1"/>
    <xf numFmtId="40" fontId="7" fillId="0" borderId="0" xfId="0" applyNumberFormat="1" applyFont="1"/>
    <xf numFmtId="164" fontId="7" fillId="0" borderId="0" xfId="0" applyNumberFormat="1" applyFont="1"/>
    <xf numFmtId="40" fontId="2" fillId="0" borderId="0" xfId="5" applyFont="1" applyFill="1" applyBorder="1" applyAlignment="1">
      <alignment wrapText="1"/>
    </xf>
    <xf numFmtId="40" fontId="3" fillId="2" borderId="0" xfId="0" applyNumberFormat="1" applyFont="1" applyFill="1" applyBorder="1" applyAlignment="1">
      <alignment wrapText="1"/>
    </xf>
    <xf numFmtId="40" fontId="7" fillId="2" borderId="0" xfId="0" applyNumberFormat="1" applyFont="1" applyFill="1" applyBorder="1"/>
    <xf numFmtId="0" fontId="7" fillId="0" borderId="0" xfId="0" applyFont="1"/>
    <xf numFmtId="40" fontId="2" fillId="0" borderId="0" xfId="5" applyFont="1" applyFill="1" applyBorder="1" applyAlignment="1">
      <alignment horizontal="center" wrapText="1"/>
    </xf>
    <xf numFmtId="0" fontId="7" fillId="0" borderId="0" xfId="0" applyFont="1" applyFill="1"/>
    <xf numFmtId="4" fontId="7" fillId="0" borderId="0" xfId="0" applyNumberFormat="1" applyFont="1"/>
    <xf numFmtId="40" fontId="8" fillId="2" borderId="0" xfId="0" applyNumberFormat="1" applyFont="1" applyFill="1" applyBorder="1"/>
    <xf numFmtId="40" fontId="7" fillId="0" borderId="0" xfId="5" applyFont="1" applyFill="1"/>
    <xf numFmtId="0" fontId="7" fillId="2" borderId="0" xfId="0" applyFont="1" applyFill="1"/>
    <xf numFmtId="40" fontId="3" fillId="2" borderId="0" xfId="0" applyNumberFormat="1" applyFont="1" applyFill="1" applyBorder="1" applyAlignment="1"/>
    <xf numFmtId="49" fontId="7" fillId="0" borderId="0" xfId="0" quotePrefix="1" applyNumberFormat="1" applyFont="1" applyFill="1"/>
    <xf numFmtId="49" fontId="7" fillId="0" borderId="0" xfId="0" quotePrefix="1" applyNumberFormat="1" applyFont="1"/>
    <xf numFmtId="40" fontId="3" fillId="2" borderId="0" xfId="5" applyFont="1" applyFill="1" applyBorder="1" applyAlignment="1">
      <alignment horizontal="center" wrapText="1"/>
    </xf>
    <xf numFmtId="40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43" fontId="5" fillId="0" borderId="0" xfId="1" applyFont="1"/>
    <xf numFmtId="40" fontId="9" fillId="0" borderId="0" xfId="5" applyNumberFormat="1" applyFont="1" applyBorder="1" applyAlignment="1">
      <alignment wrapText="1"/>
    </xf>
    <xf numFmtId="0" fontId="2" fillId="0" borderId="0" xfId="23"/>
    <xf numFmtId="165" fontId="2" fillId="0" borderId="0" xfId="23" applyNumberFormat="1"/>
    <xf numFmtId="164" fontId="2" fillId="0" borderId="0" xfId="23" applyNumberFormat="1"/>
    <xf numFmtId="1" fontId="2" fillId="0" borderId="0" xfId="23" applyNumberFormat="1"/>
    <xf numFmtId="0" fontId="2" fillId="0" borderId="0" xfId="23" quotePrefix="1"/>
    <xf numFmtId="0" fontId="7" fillId="0" borderId="0" xfId="0" quotePrefix="1" applyFont="1" applyFill="1"/>
    <xf numFmtId="0" fontId="7" fillId="0" borderId="0" xfId="0" quotePrefix="1" applyFont="1"/>
    <xf numFmtId="166" fontId="7" fillId="0" borderId="0" xfId="0" applyNumberFormat="1" applyFont="1" applyFill="1" applyBorder="1"/>
    <xf numFmtId="0" fontId="2" fillId="0" borderId="0" xfId="10"/>
    <xf numFmtId="40" fontId="2" fillId="0" borderId="0" xfId="23" applyNumberFormat="1" applyAlignment="1">
      <alignment horizontal="left"/>
    </xf>
    <xf numFmtId="0" fontId="2" fillId="3" borderId="0" xfId="23" quotePrefix="1" applyFill="1"/>
    <xf numFmtId="165" fontId="2" fillId="3" borderId="0" xfId="23" applyNumberFormat="1" applyFill="1"/>
    <xf numFmtId="164" fontId="2" fillId="3" borderId="0" xfId="23" applyNumberFormat="1" applyFill="1"/>
    <xf numFmtId="1" fontId="2" fillId="3" borderId="0" xfId="23" applyNumberFormat="1" applyFill="1"/>
    <xf numFmtId="40" fontId="2" fillId="4" borderId="0" xfId="23" applyNumberFormat="1" applyFill="1" applyAlignment="1">
      <alignment horizontal="left"/>
    </xf>
    <xf numFmtId="43" fontId="7" fillId="0" borderId="0" xfId="0" applyNumberFormat="1" applyFont="1"/>
    <xf numFmtId="40" fontId="3" fillId="2" borderId="0" xfId="5" applyFont="1" applyFill="1" applyAlignment="1">
      <alignment horizontal="left" wrapText="1"/>
    </xf>
    <xf numFmtId="40" fontId="2" fillId="0" borderId="0" xfId="5" applyFont="1" applyAlignment="1">
      <alignment horizontal="center" wrapText="1"/>
    </xf>
    <xf numFmtId="164" fontId="2" fillId="0" borderId="0" xfId="5" applyNumberFormat="1" applyFont="1" applyAlignment="1">
      <alignment horizontal="right" wrapText="1"/>
    </xf>
    <xf numFmtId="0" fontId="11" fillId="0" borderId="0" xfId="0" applyFont="1"/>
    <xf numFmtId="40" fontId="11" fillId="0" borderId="0" xfId="0" applyNumberFormat="1" applyFont="1"/>
    <xf numFmtId="4" fontId="0" fillId="0" borderId="0" xfId="0" applyNumberFormat="1"/>
  </cellXfs>
  <cellStyles count="25">
    <cellStyle name="Comma" xfId="1" builtinId="3"/>
    <cellStyle name="Comma 2" xfId="2" xr:uid="{00000000-0005-0000-0000-000001000000}"/>
    <cellStyle name="Comma0" xfId="3" xr:uid="{00000000-0005-0000-0000-000002000000}"/>
    <cellStyle name="Currency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23" xr:uid="{00000000-0005-0000-0000-000007000000}"/>
    <cellStyle name="Normal 3" xfId="7" xr:uid="{00000000-0005-0000-0000-000008000000}"/>
    <cellStyle name="Normal 3 2" xfId="8" xr:uid="{00000000-0005-0000-0000-000009000000}"/>
    <cellStyle name="Normal 3 3" xfId="9" xr:uid="{00000000-0005-0000-0000-00000A000000}"/>
    <cellStyle name="Normal 3 4" xfId="24" xr:uid="{00000000-0005-0000-0000-00000B000000}"/>
    <cellStyle name="Normal 4" xfId="10" xr:uid="{00000000-0005-0000-0000-00000C000000}"/>
    <cellStyle name="Normal 5" xfId="11" xr:uid="{00000000-0005-0000-0000-00000D000000}"/>
    <cellStyle name="Normal 5 2" xfId="12" xr:uid="{00000000-0005-0000-0000-00000E000000}"/>
    <cellStyle name="Normal 5 3" xfId="13" xr:uid="{00000000-0005-0000-0000-00000F000000}"/>
    <cellStyle name="Normal 6" xfId="14" xr:uid="{00000000-0005-0000-0000-000010000000}"/>
    <cellStyle name="Percent 2" xfId="15" xr:uid="{00000000-0005-0000-0000-000011000000}"/>
    <cellStyle name="Percent 2 2" xfId="16" xr:uid="{00000000-0005-0000-0000-000012000000}"/>
    <cellStyle name="Percent 2 3" xfId="17" xr:uid="{00000000-0005-0000-0000-000013000000}"/>
    <cellStyle name="Percent 3" xfId="18" xr:uid="{00000000-0005-0000-0000-000014000000}"/>
    <cellStyle name="Percent 3 2" xfId="19" xr:uid="{00000000-0005-0000-0000-000015000000}"/>
    <cellStyle name="Percent 3 3" xfId="20" xr:uid="{00000000-0005-0000-0000-000016000000}"/>
    <cellStyle name="Percent 4" xfId="21" xr:uid="{00000000-0005-0000-0000-000017000000}"/>
    <cellStyle name="Percent 5" xfId="22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justedAt-riskFundingConcentrationFY20JanAdam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 Form"/>
      <sheetName val="Inputs"/>
      <sheetName val="CSI Counts"/>
    </sheetNames>
    <sheetDataSet>
      <sheetData sheetId="0"/>
      <sheetData sheetId="1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8867.5</v>
          </cell>
          <cell r="E4">
            <v>4279.8999999999996</v>
          </cell>
          <cell r="F4">
            <v>8584.9358354100004</v>
          </cell>
          <cell r="G4">
            <v>4914609.1100000003</v>
          </cell>
          <cell r="H4">
            <v>8613</v>
          </cell>
          <cell r="I4">
            <v>80579442.730000004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42597.9</v>
          </cell>
          <cell r="E5">
            <v>13543.4</v>
          </cell>
          <cell r="F5">
            <v>8609.0582632000005</v>
          </cell>
          <cell r="G5">
            <v>13991510.359999999</v>
          </cell>
          <cell r="H5">
            <v>42250</v>
          </cell>
          <cell r="I5">
            <v>380717610.41000003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7645.4</v>
          </cell>
          <cell r="E6">
            <v>4727.2</v>
          </cell>
          <cell r="F6">
            <v>8513.4890696300008</v>
          </cell>
          <cell r="G6">
            <v>6851783.3700000001</v>
          </cell>
          <cell r="H6">
            <v>6905</v>
          </cell>
          <cell r="I6">
            <v>71940812.700000003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19533.099999999999</v>
          </cell>
          <cell r="E7">
            <v>5872.4</v>
          </cell>
          <cell r="F7">
            <v>8529.8794361399996</v>
          </cell>
          <cell r="G7">
            <v>6010903.6799999997</v>
          </cell>
          <cell r="H7">
            <v>19221</v>
          </cell>
          <cell r="I7">
            <v>172625669.87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1082</v>
          </cell>
          <cell r="E8">
            <v>301.7</v>
          </cell>
          <cell r="F8">
            <v>9193.4238842800005</v>
          </cell>
          <cell r="G8">
            <v>332838.71999999997</v>
          </cell>
          <cell r="H8">
            <v>1080</v>
          </cell>
          <cell r="I8">
            <v>10279311.939999999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1031</v>
          </cell>
          <cell r="E9">
            <v>209.2</v>
          </cell>
          <cell r="F9">
            <v>9154.7810101899995</v>
          </cell>
          <cell r="G9">
            <v>229821.62</v>
          </cell>
          <cell r="H9">
            <v>1013</v>
          </cell>
          <cell r="I9">
            <v>9666855.2799999993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10262.799999999999</v>
          </cell>
          <cell r="E10">
            <v>6208.8</v>
          </cell>
          <cell r="F10">
            <v>8523.3628016399998</v>
          </cell>
          <cell r="G10">
            <v>8642352.0999999996</v>
          </cell>
          <cell r="H10">
            <v>9506</v>
          </cell>
          <cell r="I10">
            <v>96115001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2431.3000000000002</v>
          </cell>
          <cell r="E11">
            <v>1521.1</v>
          </cell>
          <cell r="F11">
            <v>8135.7949975000001</v>
          </cell>
          <cell r="G11">
            <v>2044987.39</v>
          </cell>
          <cell r="H11">
            <v>2298</v>
          </cell>
          <cell r="I11">
            <v>21825791.969999999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290.89999999999998</v>
          </cell>
          <cell r="E12">
            <v>131.19999999999999</v>
          </cell>
          <cell r="F12">
            <v>11527.045164609999</v>
          </cell>
          <cell r="G12">
            <v>181481.8</v>
          </cell>
          <cell r="H12">
            <v>270</v>
          </cell>
          <cell r="I12">
            <v>3534699.24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2622.8</v>
          </cell>
          <cell r="E13">
            <v>1366.2</v>
          </cell>
          <cell r="F13">
            <v>8822.7154458099994</v>
          </cell>
          <cell r="G13">
            <v>1760912.36</v>
          </cell>
          <cell r="H13">
            <v>2404</v>
          </cell>
          <cell r="I13">
            <v>24900689.719999999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1354.5</v>
          </cell>
          <cell r="E14">
            <v>1000.4</v>
          </cell>
          <cell r="F14">
            <v>9264.2238334899994</v>
          </cell>
          <cell r="G14">
            <v>1909919.61</v>
          </cell>
          <cell r="H14">
            <v>1197</v>
          </cell>
          <cell r="I14">
            <v>14458310.789999999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54539.6</v>
          </cell>
          <cell r="E15">
            <v>12397.1</v>
          </cell>
          <cell r="F15">
            <v>8861.6995358099994</v>
          </cell>
          <cell r="G15">
            <v>13183125.039999999</v>
          </cell>
          <cell r="H15">
            <v>54467</v>
          </cell>
          <cell r="I15">
            <v>496488038.44999999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14792.1</v>
          </cell>
          <cell r="E16">
            <v>2129.1</v>
          </cell>
          <cell r="F16">
            <v>8650.89099093</v>
          </cell>
          <cell r="G16">
            <v>2210233.44</v>
          </cell>
          <cell r="H16">
            <v>14390</v>
          </cell>
          <cell r="I16">
            <v>130175078.06999999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223.5</v>
          </cell>
          <cell r="E17">
            <v>84.1</v>
          </cell>
          <cell r="F17">
            <v>14219.20308166</v>
          </cell>
          <cell r="G17">
            <v>143500.20000000001</v>
          </cell>
          <cell r="H17">
            <v>216</v>
          </cell>
          <cell r="I17">
            <v>3321492.09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40607.699999999997</v>
          </cell>
          <cell r="E18">
            <v>26590</v>
          </cell>
          <cell r="F18">
            <v>8732.1399088300004</v>
          </cell>
          <cell r="G18">
            <v>39253413.890000001</v>
          </cell>
          <cell r="H18">
            <v>39148</v>
          </cell>
          <cell r="I18">
            <v>393797562.5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2144.1</v>
          </cell>
          <cell r="E19">
            <v>685.5</v>
          </cell>
          <cell r="F19">
            <v>8745.4361513599997</v>
          </cell>
          <cell r="G19">
            <v>719399.58</v>
          </cell>
          <cell r="H19">
            <v>2291</v>
          </cell>
          <cell r="I19">
            <v>18879905.489999998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1716.3</v>
          </cell>
          <cell r="E20">
            <v>800.6</v>
          </cell>
          <cell r="F20">
            <v>8731.3674994499997</v>
          </cell>
          <cell r="G20">
            <v>897762.61</v>
          </cell>
          <cell r="H20">
            <v>1742</v>
          </cell>
          <cell r="I20">
            <v>15882360.550000001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148</v>
          </cell>
          <cell r="E21">
            <v>55.1</v>
          </cell>
          <cell r="F21">
            <v>15034.292881949999</v>
          </cell>
          <cell r="G21">
            <v>99406.74</v>
          </cell>
          <cell r="H21">
            <v>137</v>
          </cell>
          <cell r="I21">
            <v>2324482.09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54.5</v>
          </cell>
          <cell r="E22">
            <v>31.2</v>
          </cell>
          <cell r="F22">
            <v>17502.151608169999</v>
          </cell>
          <cell r="G22">
            <v>65528.06</v>
          </cell>
          <cell r="H22">
            <v>52</v>
          </cell>
          <cell r="I22">
            <v>1019395.32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293</v>
          </cell>
          <cell r="E23">
            <v>121.8</v>
          </cell>
          <cell r="F23">
            <v>11242.856077050001</v>
          </cell>
          <cell r="G23">
            <v>164325.57999999999</v>
          </cell>
          <cell r="H23">
            <v>273</v>
          </cell>
          <cell r="I23">
            <v>3458482.41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81.7</v>
          </cell>
          <cell r="E24">
            <v>38</v>
          </cell>
          <cell r="F24">
            <v>16751.469369499999</v>
          </cell>
          <cell r="G24">
            <v>76386.7</v>
          </cell>
          <cell r="H24">
            <v>96</v>
          </cell>
          <cell r="I24">
            <v>1444981.75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19</v>
          </cell>
          <cell r="F25">
            <v>17626.124326149999</v>
          </cell>
          <cell r="G25">
            <v>40187.56</v>
          </cell>
          <cell r="H25">
            <v>39</v>
          </cell>
          <cell r="I25">
            <v>921493.78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2355.8000000000002</v>
          </cell>
          <cell r="E26">
            <v>1572</v>
          </cell>
          <cell r="F26">
            <v>7770.5748048799996</v>
          </cell>
          <cell r="G26">
            <v>2017672.72</v>
          </cell>
          <cell r="H26">
            <v>2376</v>
          </cell>
          <cell r="I26">
            <v>21456563.73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243.2</v>
          </cell>
          <cell r="E27">
            <v>80.400000000000006</v>
          </cell>
          <cell r="F27">
            <v>12101.89078951</v>
          </cell>
          <cell r="G27">
            <v>116759.03999999999</v>
          </cell>
          <cell r="H27">
            <v>213</v>
          </cell>
          <cell r="I27">
            <v>3056218.99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31300.799999999999</v>
          </cell>
          <cell r="E28">
            <v>7169.5</v>
          </cell>
          <cell r="F28">
            <v>8680.3160580399999</v>
          </cell>
          <cell r="G28">
            <v>7468023.1200000001</v>
          </cell>
          <cell r="H28">
            <v>31295</v>
          </cell>
          <cell r="I28">
            <v>279168859.99000001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30302.400000000001</v>
          </cell>
          <cell r="E29">
            <v>5331.5</v>
          </cell>
          <cell r="F29">
            <v>8874.6554985099992</v>
          </cell>
          <cell r="G29">
            <v>5677827.0899999999</v>
          </cell>
          <cell r="H29">
            <v>30112</v>
          </cell>
          <cell r="I29">
            <v>274566209.32999998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1035.5</v>
          </cell>
          <cell r="E30">
            <v>218.9</v>
          </cell>
          <cell r="F30">
            <v>8948.8472700099992</v>
          </cell>
          <cell r="G30">
            <v>235068.32</v>
          </cell>
          <cell r="H30">
            <v>978</v>
          </cell>
          <cell r="I30">
            <v>9501599.6699999999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1379</v>
          </cell>
          <cell r="E31">
            <v>412.1</v>
          </cell>
          <cell r="F31">
            <v>8684.7401194800004</v>
          </cell>
          <cell r="G31">
            <v>429477.77</v>
          </cell>
          <cell r="H31">
            <v>1331</v>
          </cell>
          <cell r="I31">
            <v>12405734.390000001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108.7</v>
          </cell>
          <cell r="E32">
            <v>35.1</v>
          </cell>
          <cell r="F32">
            <v>15920.885131589999</v>
          </cell>
          <cell r="G32">
            <v>67058.77</v>
          </cell>
          <cell r="H32">
            <v>102</v>
          </cell>
          <cell r="I32">
            <v>1790120.1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185.5</v>
          </cell>
          <cell r="E33">
            <v>39</v>
          </cell>
          <cell r="F33">
            <v>14382.3931775</v>
          </cell>
          <cell r="G33">
            <v>67309.600000000006</v>
          </cell>
          <cell r="H33">
            <v>181</v>
          </cell>
          <cell r="I33">
            <v>2735243.53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752.5</v>
          </cell>
          <cell r="E34">
            <v>103.5</v>
          </cell>
          <cell r="F34">
            <v>9650.7753590499997</v>
          </cell>
          <cell r="G34">
            <v>119862.63</v>
          </cell>
          <cell r="H34">
            <v>658</v>
          </cell>
          <cell r="I34">
            <v>7382071.0899999999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1105.5</v>
          </cell>
          <cell r="E35">
            <v>522.70000000000005</v>
          </cell>
          <cell r="F35">
            <v>8489.0528301699997</v>
          </cell>
          <cell r="G35">
            <v>588759.96</v>
          </cell>
          <cell r="H35">
            <v>1067</v>
          </cell>
          <cell r="I35">
            <v>9973407.8599999994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361.1</v>
          </cell>
          <cell r="E36">
            <v>131.80000000000001</v>
          </cell>
          <cell r="F36">
            <v>10558.347895430001</v>
          </cell>
          <cell r="G36">
            <v>166990.82999999999</v>
          </cell>
          <cell r="H36">
            <v>322</v>
          </cell>
          <cell r="I36">
            <v>3979610.26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182.6</v>
          </cell>
          <cell r="E37">
            <v>98.5</v>
          </cell>
          <cell r="F37">
            <v>14401.2871844</v>
          </cell>
          <cell r="G37">
            <v>170223.21</v>
          </cell>
          <cell r="H37">
            <v>147</v>
          </cell>
          <cell r="I37">
            <v>2799898.25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225.1</v>
          </cell>
          <cell r="E38">
            <v>142.1</v>
          </cell>
          <cell r="F38">
            <v>12956.9874872</v>
          </cell>
          <cell r="G38">
            <v>220942.55</v>
          </cell>
          <cell r="H38">
            <v>191</v>
          </cell>
          <cell r="I38">
            <v>3137560.43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278.89999999999998</v>
          </cell>
          <cell r="E39">
            <v>190</v>
          </cell>
          <cell r="F39">
            <v>11600.004973159999</v>
          </cell>
          <cell r="G39">
            <v>264480.11</v>
          </cell>
          <cell r="H39">
            <v>244</v>
          </cell>
          <cell r="I39">
            <v>3499721.5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458.7</v>
          </cell>
          <cell r="E40">
            <v>298.60000000000002</v>
          </cell>
          <cell r="F40">
            <v>9401.7717734300004</v>
          </cell>
          <cell r="G40">
            <v>336884.29</v>
          </cell>
          <cell r="H40">
            <v>425</v>
          </cell>
          <cell r="I40">
            <v>4649477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373.5</v>
          </cell>
          <cell r="E41">
            <v>173.1</v>
          </cell>
          <cell r="F41">
            <v>10749.14917758</v>
          </cell>
          <cell r="G41">
            <v>223281.33</v>
          </cell>
          <cell r="H41">
            <v>374</v>
          </cell>
          <cell r="I41">
            <v>4238088.55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4808.8</v>
          </cell>
          <cell r="E42">
            <v>2246.4</v>
          </cell>
          <cell r="F42">
            <v>8374.9386191699996</v>
          </cell>
          <cell r="G42">
            <v>2457933.1</v>
          </cell>
          <cell r="H42">
            <v>4720</v>
          </cell>
          <cell r="I42">
            <v>42731344.990000002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91185.2</v>
          </cell>
          <cell r="E43">
            <v>47070.3</v>
          </cell>
          <cell r="F43">
            <v>8745.0958715300003</v>
          </cell>
          <cell r="G43">
            <v>59838710.020000003</v>
          </cell>
          <cell r="H43">
            <v>86949</v>
          </cell>
          <cell r="I43">
            <v>857142930.63999999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239.3</v>
          </cell>
          <cell r="E44">
            <v>82</v>
          </cell>
          <cell r="F44">
            <v>13290.860851670001</v>
          </cell>
          <cell r="G44">
            <v>130782.07</v>
          </cell>
          <cell r="H44">
            <v>217</v>
          </cell>
          <cell r="I44">
            <v>3311285.07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66036.2</v>
          </cell>
          <cell r="E45">
            <v>6299</v>
          </cell>
          <cell r="F45">
            <v>8738.6178901799994</v>
          </cell>
          <cell r="G45">
            <v>6605346.4900000002</v>
          </cell>
          <cell r="H45">
            <v>66179</v>
          </cell>
          <cell r="I45">
            <v>582983619.14999998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7052</v>
          </cell>
          <cell r="E46">
            <v>1639.9</v>
          </cell>
          <cell r="F46">
            <v>9177.2001330900002</v>
          </cell>
          <cell r="G46">
            <v>1805962.86</v>
          </cell>
          <cell r="H46">
            <v>6844</v>
          </cell>
          <cell r="I46">
            <v>66522783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2310.1</v>
          </cell>
          <cell r="E47">
            <v>342</v>
          </cell>
          <cell r="F47">
            <v>8874.9970102200004</v>
          </cell>
          <cell r="G47">
            <v>364229.88</v>
          </cell>
          <cell r="H47">
            <v>2226</v>
          </cell>
          <cell r="I47">
            <v>20865374.48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254.3</v>
          </cell>
          <cell r="E48">
            <v>60</v>
          </cell>
          <cell r="F48">
            <v>13278.653687489999</v>
          </cell>
          <cell r="G48">
            <v>95606.31</v>
          </cell>
          <cell r="H48">
            <v>217</v>
          </cell>
          <cell r="I48">
            <v>3472367.94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320</v>
          </cell>
          <cell r="E49">
            <v>118.6</v>
          </cell>
          <cell r="F49">
            <v>11902.026914759999</v>
          </cell>
          <cell r="G49">
            <v>169389.65</v>
          </cell>
          <cell r="H49">
            <v>307</v>
          </cell>
          <cell r="I49">
            <v>3978038.26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232.5</v>
          </cell>
          <cell r="E50">
            <v>63.5</v>
          </cell>
          <cell r="F50">
            <v>13838.219521270001</v>
          </cell>
          <cell r="G50">
            <v>105447.23</v>
          </cell>
          <cell r="H50">
            <v>228</v>
          </cell>
          <cell r="I50">
            <v>3322833.27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20</v>
          </cell>
          <cell r="F51">
            <v>18930.52950026</v>
          </cell>
          <cell r="G51">
            <v>45433.27</v>
          </cell>
          <cell r="H51">
            <v>37</v>
          </cell>
          <cell r="I51">
            <v>991959.75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455.5</v>
          </cell>
          <cell r="E52">
            <v>159</v>
          </cell>
          <cell r="F52">
            <v>10092.087079270001</v>
          </cell>
          <cell r="G52">
            <v>192557.02</v>
          </cell>
          <cell r="H52">
            <v>446</v>
          </cell>
          <cell r="I52">
            <v>4789502.68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11801.5</v>
          </cell>
          <cell r="E53">
            <v>7811.1</v>
          </cell>
          <cell r="F53">
            <v>8474.6326343199999</v>
          </cell>
          <cell r="G53">
            <v>11152601.630000001</v>
          </cell>
          <cell r="H53">
            <v>11543</v>
          </cell>
          <cell r="I53">
            <v>111165886.03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9388.7000000000007</v>
          </cell>
          <cell r="E54">
            <v>3331.6</v>
          </cell>
          <cell r="F54">
            <v>8281.0276036600008</v>
          </cell>
          <cell r="G54">
            <v>3315406.7</v>
          </cell>
          <cell r="H54">
            <v>9246</v>
          </cell>
          <cell r="I54">
            <v>81433277.849999994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8313</v>
          </cell>
          <cell r="E55">
            <v>2589.3000000000002</v>
          </cell>
          <cell r="F55">
            <v>8343.27134114</v>
          </cell>
          <cell r="G55">
            <v>2592387.9</v>
          </cell>
          <cell r="H55">
            <v>8016</v>
          </cell>
          <cell r="I55">
            <v>72104778.590000004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30567.4</v>
          </cell>
          <cell r="E56">
            <v>14022</v>
          </cell>
          <cell r="F56">
            <v>8492.4545989199996</v>
          </cell>
          <cell r="G56">
            <v>15677142.439999999</v>
          </cell>
          <cell r="H56">
            <v>29038</v>
          </cell>
          <cell r="I56">
            <v>275239521.18000001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5175.3</v>
          </cell>
          <cell r="E57">
            <v>604.1</v>
          </cell>
          <cell r="F57">
            <v>8470.7479929000001</v>
          </cell>
          <cell r="G57">
            <v>614061.46</v>
          </cell>
          <cell r="H57">
            <v>5170</v>
          </cell>
          <cell r="I57">
            <v>44889465.390000001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1432.5</v>
          </cell>
          <cell r="E58">
            <v>384.3</v>
          </cell>
          <cell r="F58">
            <v>8998.0513663000002</v>
          </cell>
          <cell r="G58">
            <v>414954.14</v>
          </cell>
          <cell r="H58">
            <v>1393</v>
          </cell>
          <cell r="I58">
            <v>13304662.720000001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25613.4</v>
          </cell>
          <cell r="E59">
            <v>2640.2</v>
          </cell>
          <cell r="F59">
            <v>8551.2045212600005</v>
          </cell>
          <cell r="G59">
            <v>2709226.82</v>
          </cell>
          <cell r="H59">
            <v>26241</v>
          </cell>
          <cell r="I59">
            <v>221922483.50999999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1087.5</v>
          </cell>
          <cell r="E60">
            <v>505.3</v>
          </cell>
          <cell r="F60">
            <v>9040.2932148599994</v>
          </cell>
          <cell r="G60">
            <v>604569.59999999998</v>
          </cell>
          <cell r="H60">
            <v>1036</v>
          </cell>
          <cell r="I60">
            <v>10435888.470000001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626.9</v>
          </cell>
          <cell r="E61">
            <v>132.19999999999999</v>
          </cell>
          <cell r="F61">
            <v>9786.4892470100003</v>
          </cell>
          <cell r="G61">
            <v>155252.87</v>
          </cell>
          <cell r="H61">
            <v>609</v>
          </cell>
          <cell r="I61">
            <v>6247566.0599999996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252.7</v>
          </cell>
          <cell r="E62">
            <v>96.6</v>
          </cell>
          <cell r="F62">
            <v>12986.16868115</v>
          </cell>
          <cell r="G62">
            <v>150535.67000000001</v>
          </cell>
          <cell r="H62">
            <v>233</v>
          </cell>
          <cell r="I62">
            <v>3404515.48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6517.2</v>
          </cell>
          <cell r="E63">
            <v>557.9</v>
          </cell>
          <cell r="F63">
            <v>8601.0241347299998</v>
          </cell>
          <cell r="G63">
            <v>575821.36</v>
          </cell>
          <cell r="H63">
            <v>6511</v>
          </cell>
          <cell r="I63">
            <v>56629758.780000001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25811.4</v>
          </cell>
          <cell r="E64">
            <v>6856</v>
          </cell>
          <cell r="F64">
            <v>8493.3021049800009</v>
          </cell>
          <cell r="G64">
            <v>6987609.5099999998</v>
          </cell>
          <cell r="H64">
            <v>23497</v>
          </cell>
          <cell r="I64">
            <v>225295611.13999999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207</v>
          </cell>
          <cell r="E65">
            <v>105.6</v>
          </cell>
          <cell r="F65">
            <v>14193.942532970001</v>
          </cell>
          <cell r="G65">
            <v>179865.64</v>
          </cell>
          <cell r="H65">
            <v>239</v>
          </cell>
          <cell r="I65">
            <v>3071516.2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284.8</v>
          </cell>
          <cell r="E66">
            <v>99</v>
          </cell>
          <cell r="F66">
            <v>12071.78855148</v>
          </cell>
          <cell r="G66">
            <v>143412.85</v>
          </cell>
          <cell r="H66">
            <v>262</v>
          </cell>
          <cell r="I66">
            <v>3581458.23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3726.2</v>
          </cell>
          <cell r="E67">
            <v>1766.3</v>
          </cell>
          <cell r="F67">
            <v>8164.5371269699999</v>
          </cell>
          <cell r="G67">
            <v>1952406.99</v>
          </cell>
          <cell r="H67">
            <v>3482</v>
          </cell>
          <cell r="I67">
            <v>32375105.23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1374.3</v>
          </cell>
          <cell r="E68">
            <v>596.29999999999995</v>
          </cell>
          <cell r="F68">
            <v>8556.0029961399996</v>
          </cell>
          <cell r="G68">
            <v>652806.77</v>
          </cell>
          <cell r="H68">
            <v>1308</v>
          </cell>
          <cell r="I68">
            <v>12411147.68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218</v>
          </cell>
          <cell r="E69">
            <v>90</v>
          </cell>
          <cell r="F69">
            <v>13503.31139841</v>
          </cell>
          <cell r="G69">
            <v>145835.76</v>
          </cell>
          <cell r="H69">
            <v>210</v>
          </cell>
          <cell r="I69">
            <v>3089557.64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6284.6</v>
          </cell>
          <cell r="E70">
            <v>1833</v>
          </cell>
          <cell r="F70">
            <v>9111.0266588600007</v>
          </cell>
          <cell r="G70">
            <v>2004061.42</v>
          </cell>
          <cell r="H70">
            <v>6081</v>
          </cell>
          <cell r="I70">
            <v>59263219.560000002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4837.2</v>
          </cell>
          <cell r="E71">
            <v>1690.7</v>
          </cell>
          <cell r="F71">
            <v>8455.9624059300004</v>
          </cell>
          <cell r="G71">
            <v>1722995.69</v>
          </cell>
          <cell r="H71">
            <v>4553</v>
          </cell>
          <cell r="I71">
            <v>42626177.039999999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1282</v>
          </cell>
          <cell r="E72">
            <v>593.4</v>
          </cell>
          <cell r="F72">
            <v>9096.1379479499992</v>
          </cell>
          <cell r="G72">
            <v>713587.66</v>
          </cell>
          <cell r="H72">
            <v>1219</v>
          </cell>
          <cell r="I72">
            <v>12374836.51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461</v>
          </cell>
          <cell r="E73">
            <v>118.1</v>
          </cell>
          <cell r="F73">
            <v>10275.71569408</v>
          </cell>
          <cell r="G73">
            <v>145627.44</v>
          </cell>
          <cell r="H73">
            <v>453</v>
          </cell>
          <cell r="I73">
            <v>4882732.37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445.5</v>
          </cell>
          <cell r="E74">
            <v>107.3</v>
          </cell>
          <cell r="F74">
            <v>10480.45111013</v>
          </cell>
          <cell r="G74">
            <v>134946.29</v>
          </cell>
          <cell r="H74">
            <v>434</v>
          </cell>
          <cell r="I74">
            <v>4803987.26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1330.5</v>
          </cell>
          <cell r="E75">
            <v>313.7</v>
          </cell>
          <cell r="F75">
            <v>8919.4651518200008</v>
          </cell>
          <cell r="G75">
            <v>335764.35</v>
          </cell>
          <cell r="H75">
            <v>1302</v>
          </cell>
          <cell r="I75">
            <v>12203112.73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2062.5</v>
          </cell>
          <cell r="E76">
            <v>392.4</v>
          </cell>
          <cell r="F76">
            <v>8800.2118865699995</v>
          </cell>
          <cell r="G76">
            <v>414384.38</v>
          </cell>
          <cell r="H76">
            <v>2025</v>
          </cell>
          <cell r="I76">
            <v>18564403.18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88.6</v>
          </cell>
          <cell r="E77">
            <v>16.3</v>
          </cell>
          <cell r="F77">
            <v>18366.876589700001</v>
          </cell>
          <cell r="G77">
            <v>35925.61</v>
          </cell>
          <cell r="H77">
            <v>80</v>
          </cell>
          <cell r="I77">
            <v>1663230.88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529.1</v>
          </cell>
          <cell r="E78">
            <v>383.5</v>
          </cell>
          <cell r="F78">
            <v>9100.7110764699992</v>
          </cell>
          <cell r="G78">
            <v>664611.74</v>
          </cell>
          <cell r="H78">
            <v>497</v>
          </cell>
          <cell r="I78">
            <v>5360287.62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213.4</v>
          </cell>
          <cell r="E79">
            <v>100.5</v>
          </cell>
          <cell r="F79">
            <v>13043.76527862</v>
          </cell>
          <cell r="G79">
            <v>157307.81</v>
          </cell>
          <cell r="H79">
            <v>201</v>
          </cell>
          <cell r="I79">
            <v>2940847.32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172.2</v>
          </cell>
          <cell r="E80">
            <v>59.8</v>
          </cell>
          <cell r="F80">
            <v>15240.897225180001</v>
          </cell>
          <cell r="G80">
            <v>109368.68</v>
          </cell>
          <cell r="H80">
            <v>162</v>
          </cell>
          <cell r="I80">
            <v>2733851.18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82858.7</v>
          </cell>
          <cell r="E81">
            <v>21185.5</v>
          </cell>
          <cell r="F81">
            <v>8667.36009534</v>
          </cell>
          <cell r="G81">
            <v>22034682.879999999</v>
          </cell>
          <cell r="H81">
            <v>81960</v>
          </cell>
          <cell r="I81">
            <v>740111555.10000002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178.5</v>
          </cell>
          <cell r="E82">
            <v>71</v>
          </cell>
          <cell r="F82">
            <v>13981.791360409999</v>
          </cell>
          <cell r="G82">
            <v>119124.86</v>
          </cell>
          <cell r="H82">
            <v>170</v>
          </cell>
          <cell r="I82">
            <v>2614874.62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55.3</v>
          </cell>
          <cell r="E83">
            <v>32.299999999999997</v>
          </cell>
          <cell r="F83">
            <v>17097.217575400002</v>
          </cell>
          <cell r="G83">
            <v>66268.820000000007</v>
          </cell>
          <cell r="H83">
            <v>50</v>
          </cell>
          <cell r="I83">
            <v>1011744.95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161</v>
          </cell>
          <cell r="E84">
            <v>52</v>
          </cell>
          <cell r="F84">
            <v>14583.842427019999</v>
          </cell>
          <cell r="G84">
            <v>91003.18</v>
          </cell>
          <cell r="H84">
            <v>140</v>
          </cell>
          <cell r="I84">
            <v>2439001.81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119.5</v>
          </cell>
          <cell r="E85">
            <v>46.7</v>
          </cell>
          <cell r="F85">
            <v>15266.637520640001</v>
          </cell>
          <cell r="G85">
            <v>85554.240000000005</v>
          </cell>
          <cell r="H85">
            <v>108</v>
          </cell>
          <cell r="I85">
            <v>1909917.42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220</v>
          </cell>
          <cell r="E86">
            <v>70.2</v>
          </cell>
          <cell r="F86">
            <v>12950.758763739999</v>
          </cell>
          <cell r="G86">
            <v>109097.19</v>
          </cell>
          <cell r="H86">
            <v>205</v>
          </cell>
          <cell r="I86">
            <v>2958264.12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116.5</v>
          </cell>
          <cell r="E87">
            <v>57.9</v>
          </cell>
          <cell r="F87">
            <v>15814.76721946</v>
          </cell>
          <cell r="G87">
            <v>109881</v>
          </cell>
          <cell r="H87">
            <v>112</v>
          </cell>
          <cell r="I87">
            <v>1952301.38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737.9</v>
          </cell>
          <cell r="E88">
            <v>369.7</v>
          </cell>
          <cell r="F88">
            <v>8737.5844539000009</v>
          </cell>
          <cell r="G88">
            <v>451535.38</v>
          </cell>
          <cell r="H88">
            <v>693</v>
          </cell>
          <cell r="I88">
            <v>6898998.9500000002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1045</v>
          </cell>
          <cell r="E89">
            <v>376.4</v>
          </cell>
          <cell r="F89">
            <v>9010.9533158199993</v>
          </cell>
          <cell r="G89">
            <v>408803.8</v>
          </cell>
          <cell r="H89">
            <v>1013</v>
          </cell>
          <cell r="I89">
            <v>9825250.0199999996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5866.7</v>
          </cell>
          <cell r="E90">
            <v>1612.1</v>
          </cell>
          <cell r="F90">
            <v>8772.1917285500003</v>
          </cell>
          <cell r="G90">
            <v>1696998.03</v>
          </cell>
          <cell r="H90">
            <v>5796</v>
          </cell>
          <cell r="I90">
            <v>52846320.710000001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1404.5</v>
          </cell>
          <cell r="E91">
            <v>340.3</v>
          </cell>
          <cell r="F91">
            <v>9198.5717958900004</v>
          </cell>
          <cell r="G91">
            <v>375632.88</v>
          </cell>
          <cell r="H91">
            <v>1363</v>
          </cell>
          <cell r="I91">
            <v>13286044.68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874.5</v>
          </cell>
          <cell r="E92">
            <v>363.4</v>
          </cell>
          <cell r="F92">
            <v>9525.53762757</v>
          </cell>
          <cell r="G92">
            <v>465327.28</v>
          </cell>
          <cell r="H92">
            <v>725</v>
          </cell>
          <cell r="I92">
            <v>8749096.6600000001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31745.8</v>
          </cell>
          <cell r="E93">
            <v>7716.1</v>
          </cell>
          <cell r="F93">
            <v>8356.4169905800009</v>
          </cell>
          <cell r="G93">
            <v>7737473.9000000004</v>
          </cell>
          <cell r="H93">
            <v>31866</v>
          </cell>
          <cell r="I93">
            <v>275263759.25999999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15544.4</v>
          </cell>
          <cell r="E94">
            <v>4717.7</v>
          </cell>
          <cell r="F94">
            <v>8345.5869510499997</v>
          </cell>
          <cell r="G94">
            <v>4724637.07</v>
          </cell>
          <cell r="H94">
            <v>15600</v>
          </cell>
          <cell r="I94">
            <v>134822296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1094.0999999999999</v>
          </cell>
          <cell r="E95">
            <v>334.1</v>
          </cell>
          <cell r="F95">
            <v>9241.6839614799992</v>
          </cell>
          <cell r="G95">
            <v>370517.59</v>
          </cell>
          <cell r="H95">
            <v>1111</v>
          </cell>
          <cell r="I95">
            <v>10481844.01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1023.3</v>
          </cell>
          <cell r="E96">
            <v>529.9</v>
          </cell>
          <cell r="F96">
            <v>8866.6438202900008</v>
          </cell>
          <cell r="G96">
            <v>716896.26</v>
          </cell>
          <cell r="H96">
            <v>881</v>
          </cell>
          <cell r="I96">
            <v>9790132.8800000008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190.5</v>
          </cell>
          <cell r="E97">
            <v>93.9</v>
          </cell>
          <cell r="F97">
            <v>14166.06529952</v>
          </cell>
          <cell r="G97">
            <v>159623.22</v>
          </cell>
          <cell r="H97">
            <v>185</v>
          </cell>
          <cell r="I97">
            <v>2858258.66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374</v>
          </cell>
          <cell r="E98">
            <v>98.2</v>
          </cell>
          <cell r="F98">
            <v>10561.86548</v>
          </cell>
          <cell r="G98">
            <v>124461.02</v>
          </cell>
          <cell r="H98">
            <v>365</v>
          </cell>
          <cell r="I98">
            <v>4074598.71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117.4</v>
          </cell>
          <cell r="E99">
            <v>70</v>
          </cell>
          <cell r="F99">
            <v>15765.77583491</v>
          </cell>
          <cell r="G99">
            <v>132432.51999999999</v>
          </cell>
          <cell r="H99">
            <v>108</v>
          </cell>
          <cell r="I99">
            <v>1983334.6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442.2</v>
          </cell>
          <cell r="E100">
            <v>119.7</v>
          </cell>
          <cell r="F100">
            <v>8907.1203173100002</v>
          </cell>
          <cell r="G100">
            <v>127941.88</v>
          </cell>
          <cell r="H100">
            <v>431</v>
          </cell>
          <cell r="I100">
            <v>3874476.45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18.3</v>
          </cell>
          <cell r="F101">
            <v>16827.508913419999</v>
          </cell>
          <cell r="G101">
            <v>36953.21</v>
          </cell>
          <cell r="H101">
            <v>42</v>
          </cell>
          <cell r="I101">
            <v>878328.66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200.5</v>
          </cell>
          <cell r="E102">
            <v>65</v>
          </cell>
          <cell r="F102">
            <v>13881.679413309999</v>
          </cell>
          <cell r="G102">
            <v>108277.1</v>
          </cell>
          <cell r="H102">
            <v>192</v>
          </cell>
          <cell r="I102">
            <v>2891553.82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501.2</v>
          </cell>
          <cell r="E103">
            <v>188.4</v>
          </cell>
          <cell r="F103">
            <v>9559.2703854200008</v>
          </cell>
          <cell r="G103">
            <v>222930.41</v>
          </cell>
          <cell r="H103">
            <v>450</v>
          </cell>
          <cell r="I103">
            <v>5012859.46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19</v>
          </cell>
          <cell r="F104">
            <v>17759.226894939999</v>
          </cell>
          <cell r="G104">
            <v>40491.040000000001</v>
          </cell>
          <cell r="H104">
            <v>45</v>
          </cell>
          <cell r="I104">
            <v>928452.38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2188.5</v>
          </cell>
          <cell r="E105">
            <v>876.6</v>
          </cell>
          <cell r="F105">
            <v>8376.7896831500002</v>
          </cell>
          <cell r="G105">
            <v>912265.91</v>
          </cell>
          <cell r="H105">
            <v>2071</v>
          </cell>
          <cell r="I105">
            <v>19244870.129999999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197.5</v>
          </cell>
          <cell r="E106">
            <v>53.8</v>
          </cell>
          <cell r="F106">
            <v>14049.90790552</v>
          </cell>
          <cell r="G106">
            <v>90706.21</v>
          </cell>
          <cell r="H106">
            <v>190</v>
          </cell>
          <cell r="I106">
            <v>2865563.02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308.89999999999998</v>
          </cell>
          <cell r="E107">
            <v>63.9</v>
          </cell>
          <cell r="F107">
            <v>11637.615008459999</v>
          </cell>
          <cell r="G107">
            <v>89237.23</v>
          </cell>
          <cell r="H107">
            <v>302</v>
          </cell>
          <cell r="I107">
            <v>3684096.51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158</v>
          </cell>
          <cell r="E108">
            <v>25.9</v>
          </cell>
          <cell r="F108">
            <v>15302.429306939999</v>
          </cell>
          <cell r="G108">
            <v>47559.95</v>
          </cell>
          <cell r="H108">
            <v>148</v>
          </cell>
          <cell r="I108">
            <v>2465343.7799999998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164.3</v>
          </cell>
          <cell r="E109">
            <v>52</v>
          </cell>
          <cell r="F109">
            <v>15054.73938447</v>
          </cell>
          <cell r="G109">
            <v>93941.57</v>
          </cell>
          <cell r="H109">
            <v>148</v>
          </cell>
          <cell r="I109">
            <v>2567435.25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430.5</v>
          </cell>
          <cell r="E110">
            <v>111.1</v>
          </cell>
          <cell r="F110">
            <v>10009.465415000001</v>
          </cell>
          <cell r="G110">
            <v>133446.19</v>
          </cell>
          <cell r="H110">
            <v>382</v>
          </cell>
          <cell r="I110">
            <v>4442521.05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22338.6</v>
          </cell>
          <cell r="E111">
            <v>8108.5</v>
          </cell>
          <cell r="F111">
            <v>8090.1361671799996</v>
          </cell>
          <cell r="G111">
            <v>7899123.2000000002</v>
          </cell>
          <cell r="H111">
            <v>22003</v>
          </cell>
          <cell r="I111">
            <v>193753176.44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92.3</v>
          </cell>
          <cell r="E112">
            <v>26</v>
          </cell>
          <cell r="F112">
            <v>17456.141923499999</v>
          </cell>
          <cell r="G112">
            <v>54463.16</v>
          </cell>
          <cell r="H112">
            <v>81</v>
          </cell>
          <cell r="I112">
            <v>1665665.06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2141.4</v>
          </cell>
          <cell r="E113">
            <v>727.9</v>
          </cell>
          <cell r="F113">
            <v>8238.0478896700006</v>
          </cell>
          <cell r="G113">
            <v>720463.42</v>
          </cell>
          <cell r="H113">
            <v>2026</v>
          </cell>
          <cell r="I113">
            <v>18574053.91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2767</v>
          </cell>
          <cell r="E114">
            <v>1494.5</v>
          </cell>
          <cell r="F114">
            <v>8208.8762167500008</v>
          </cell>
          <cell r="G114">
            <v>1776091.01</v>
          </cell>
          <cell r="H114">
            <v>2663</v>
          </cell>
          <cell r="I114">
            <v>24490570.870000001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690.1</v>
          </cell>
          <cell r="E115">
            <v>240.5</v>
          </cell>
          <cell r="F115">
            <v>9367.2381097899997</v>
          </cell>
          <cell r="G115">
            <v>272314.96999999997</v>
          </cell>
          <cell r="H115">
            <v>634</v>
          </cell>
          <cell r="I115">
            <v>6735660.75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481.5</v>
          </cell>
          <cell r="E116">
            <v>217.8</v>
          </cell>
          <cell r="F116">
            <v>9618.7370276099991</v>
          </cell>
          <cell r="G116">
            <v>271788</v>
          </cell>
          <cell r="H116">
            <v>464</v>
          </cell>
          <cell r="I116">
            <v>4903209.88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5998.9</v>
          </cell>
          <cell r="E117">
            <v>2430.4</v>
          </cell>
          <cell r="F117">
            <v>8584.1599092500001</v>
          </cell>
          <cell r="G117">
            <v>2569048.58</v>
          </cell>
          <cell r="H117">
            <v>5905</v>
          </cell>
          <cell r="I117">
            <v>54064565.460000001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267.2</v>
          </cell>
          <cell r="E118">
            <v>98.3</v>
          </cell>
          <cell r="F118">
            <v>13371.737681279999</v>
          </cell>
          <cell r="G118">
            <v>157733.01999999999</v>
          </cell>
          <cell r="H118">
            <v>235</v>
          </cell>
          <cell r="I118">
            <v>3730661.33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1488.2</v>
          </cell>
          <cell r="E119">
            <v>628.79999999999995</v>
          </cell>
          <cell r="F119">
            <v>8845.5163725799994</v>
          </cell>
          <cell r="G119">
            <v>719545.07</v>
          </cell>
          <cell r="H119">
            <v>1347</v>
          </cell>
          <cell r="I119">
            <v>13883442.539999999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3326.5</v>
          </cell>
          <cell r="E120">
            <v>1963.1</v>
          </cell>
          <cell r="F120">
            <v>8440.7791240799997</v>
          </cell>
          <cell r="G120">
            <v>2530471.2200000002</v>
          </cell>
          <cell r="H120">
            <v>3260</v>
          </cell>
          <cell r="I120">
            <v>30608722.98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205.4</v>
          </cell>
          <cell r="E121">
            <v>37.4</v>
          </cell>
          <cell r="F121">
            <v>14363.953198810001</v>
          </cell>
          <cell r="G121">
            <v>64465.42</v>
          </cell>
          <cell r="H121">
            <v>195</v>
          </cell>
          <cell r="I121">
            <v>3014821.41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688</v>
          </cell>
          <cell r="E122">
            <v>181</v>
          </cell>
          <cell r="F122">
            <v>9459.8462325599994</v>
          </cell>
          <cell r="G122">
            <v>205467.86</v>
          </cell>
          <cell r="H122">
            <v>649</v>
          </cell>
          <cell r="I122">
            <v>6713842.0700000003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1475</v>
          </cell>
          <cell r="E123">
            <v>1046.9000000000001</v>
          </cell>
          <cell r="F123">
            <v>8563.0663298199997</v>
          </cell>
          <cell r="G123">
            <v>1632178.59</v>
          </cell>
          <cell r="H123">
            <v>1422</v>
          </cell>
          <cell r="I123">
            <v>14262701.43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813.9</v>
          </cell>
          <cell r="E124">
            <v>501.7</v>
          </cell>
          <cell r="F124">
            <v>8995.4160983500005</v>
          </cell>
          <cell r="G124">
            <v>758947.58</v>
          </cell>
          <cell r="H124">
            <v>743</v>
          </cell>
          <cell r="I124">
            <v>8080316.7400000002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167</v>
          </cell>
          <cell r="E125">
            <v>103</v>
          </cell>
          <cell r="F125">
            <v>15031.80688337</v>
          </cell>
          <cell r="G125">
            <v>185793.13</v>
          </cell>
          <cell r="H125">
            <v>167</v>
          </cell>
          <cell r="I125">
            <v>2696104.88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391.5</v>
          </cell>
          <cell r="E126">
            <v>152.4</v>
          </cell>
          <cell r="F126">
            <v>10346.023407320001</v>
          </cell>
          <cell r="G126">
            <v>189208.08</v>
          </cell>
          <cell r="H126">
            <v>359</v>
          </cell>
          <cell r="I126">
            <v>4239676.24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222.5</v>
          </cell>
          <cell r="E127">
            <v>59.5</v>
          </cell>
          <cell r="F127">
            <v>13334.118589260001</v>
          </cell>
          <cell r="G127">
            <v>95205.61</v>
          </cell>
          <cell r="H127">
            <v>209</v>
          </cell>
          <cell r="I127">
            <v>3062047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356.5</v>
          </cell>
          <cell r="E128">
            <v>113</v>
          </cell>
          <cell r="F128">
            <v>10865.65782113</v>
          </cell>
          <cell r="G128">
            <v>147338.32</v>
          </cell>
          <cell r="H128">
            <v>321</v>
          </cell>
          <cell r="I128">
            <v>4020945.33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168.3</v>
          </cell>
          <cell r="E129">
            <v>44.8</v>
          </cell>
          <cell r="F129">
            <v>16930.88839606</v>
          </cell>
          <cell r="G129">
            <v>91020.46</v>
          </cell>
          <cell r="H129">
            <v>155</v>
          </cell>
          <cell r="I129">
            <v>2940488.98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336.3</v>
          </cell>
          <cell r="E130">
            <v>48.9</v>
          </cell>
          <cell r="F130">
            <v>12381.025591240001</v>
          </cell>
          <cell r="G130">
            <v>72651.86</v>
          </cell>
          <cell r="H130">
            <v>330</v>
          </cell>
          <cell r="I130">
            <v>4236390.7699999996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896.8</v>
          </cell>
          <cell r="E131">
            <v>142.1</v>
          </cell>
          <cell r="F131">
            <v>9569.1270418999993</v>
          </cell>
          <cell r="G131">
            <v>163172.75</v>
          </cell>
          <cell r="H131">
            <v>799</v>
          </cell>
          <cell r="I131">
            <v>8743578.75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650.29999999999995</v>
          </cell>
          <cell r="E132">
            <v>211</v>
          </cell>
          <cell r="F132">
            <v>9811.1797708600006</v>
          </cell>
          <cell r="G132">
            <v>248419.07</v>
          </cell>
          <cell r="H132">
            <v>623</v>
          </cell>
          <cell r="I132">
            <v>6628629.2699999996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608.5</v>
          </cell>
          <cell r="E133">
            <v>293.7</v>
          </cell>
          <cell r="F133">
            <v>9210.4400091700008</v>
          </cell>
          <cell r="G133">
            <v>363248.51</v>
          </cell>
          <cell r="H133">
            <v>587</v>
          </cell>
          <cell r="I133">
            <v>5967801.2599999998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324.5</v>
          </cell>
          <cell r="E134">
            <v>77.099999999999994</v>
          </cell>
          <cell r="F134">
            <v>10794.38429011</v>
          </cell>
          <cell r="G134">
            <v>99869.64</v>
          </cell>
          <cell r="H134">
            <v>304</v>
          </cell>
          <cell r="I134">
            <v>3602647.34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1683</v>
          </cell>
          <cell r="E135">
            <v>46</v>
          </cell>
          <cell r="F135">
            <v>11771.62219027</v>
          </cell>
          <cell r="G135">
            <v>64979.35</v>
          </cell>
          <cell r="H135">
            <v>1629</v>
          </cell>
          <cell r="I135">
            <v>19876619.5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196.9</v>
          </cell>
          <cell r="E136">
            <v>105.9</v>
          </cell>
          <cell r="F136">
            <v>13569.386844729999</v>
          </cell>
          <cell r="G136">
            <v>172439.77</v>
          </cell>
          <cell r="H136">
            <v>180</v>
          </cell>
          <cell r="I136">
            <v>2828689.88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1536.5</v>
          </cell>
          <cell r="E137">
            <v>911.4</v>
          </cell>
          <cell r="F137">
            <v>8467.5585923599992</v>
          </cell>
          <cell r="G137">
            <v>1209680.5</v>
          </cell>
          <cell r="H137">
            <v>1465</v>
          </cell>
          <cell r="I137">
            <v>14219998.720000001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293.3</v>
          </cell>
          <cell r="E138">
            <v>125</v>
          </cell>
          <cell r="F138">
            <v>10904.197073969999</v>
          </cell>
          <cell r="G138">
            <v>163562.96</v>
          </cell>
          <cell r="H138">
            <v>279</v>
          </cell>
          <cell r="I138">
            <v>3361763.96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239.3</v>
          </cell>
          <cell r="E139">
            <v>61.5</v>
          </cell>
          <cell r="F139">
            <v>12388.716596710001</v>
          </cell>
          <cell r="G139">
            <v>91428.73</v>
          </cell>
          <cell r="H139">
            <v>217</v>
          </cell>
          <cell r="I139">
            <v>3052041.89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16631.3</v>
          </cell>
          <cell r="E140">
            <v>10945.3</v>
          </cell>
          <cell r="F140">
            <v>8276.6053971700003</v>
          </cell>
          <cell r="G140">
            <v>16081769.390000001</v>
          </cell>
          <cell r="H140">
            <v>15270</v>
          </cell>
          <cell r="I140">
            <v>153732898.31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10278.6</v>
          </cell>
          <cell r="E141">
            <v>3927.2</v>
          </cell>
          <cell r="F141">
            <v>8199.6011675999998</v>
          </cell>
          <cell r="G141">
            <v>3899839.95</v>
          </cell>
          <cell r="H141">
            <v>10238</v>
          </cell>
          <cell r="I141">
            <v>89088035.670000002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721.8</v>
          </cell>
          <cell r="E142">
            <v>206.8</v>
          </cell>
          <cell r="F142">
            <v>9097.8637256099992</v>
          </cell>
          <cell r="G142">
            <v>225772.59</v>
          </cell>
          <cell r="H142">
            <v>704</v>
          </cell>
          <cell r="I142">
            <v>6792610.6299999999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490.8</v>
          </cell>
          <cell r="E143">
            <v>133.6</v>
          </cell>
          <cell r="F143">
            <v>9307.1553195699998</v>
          </cell>
          <cell r="G143">
            <v>149212.31</v>
          </cell>
          <cell r="H143">
            <v>473</v>
          </cell>
          <cell r="I143">
            <v>4717164.1399999997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446.6</v>
          </cell>
          <cell r="E144">
            <v>249</v>
          </cell>
          <cell r="F144">
            <v>9634.7308438100008</v>
          </cell>
          <cell r="G144">
            <v>287885.76</v>
          </cell>
          <cell r="H144">
            <v>421</v>
          </cell>
          <cell r="I144">
            <v>4590756.55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1130.0999999999999</v>
          </cell>
          <cell r="E145">
            <v>681.8</v>
          </cell>
          <cell r="F145">
            <v>8557.7550876999994</v>
          </cell>
          <cell r="G145">
            <v>905777.28</v>
          </cell>
          <cell r="H145">
            <v>1109</v>
          </cell>
          <cell r="I145">
            <v>10557035.98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385.2</v>
          </cell>
          <cell r="E146">
            <v>122.7</v>
          </cell>
          <cell r="F146">
            <v>10348.967625810001</v>
          </cell>
          <cell r="G146">
            <v>152378.20000000001</v>
          </cell>
          <cell r="H146">
            <v>354</v>
          </cell>
          <cell r="I146">
            <v>4138800.53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404.9</v>
          </cell>
          <cell r="E147">
            <v>77.599999999999994</v>
          </cell>
          <cell r="F147">
            <v>11124.205445219999</v>
          </cell>
          <cell r="G147">
            <v>103588.6</v>
          </cell>
          <cell r="H147">
            <v>388</v>
          </cell>
          <cell r="I147">
            <v>4607779.38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2793.8</v>
          </cell>
          <cell r="E148">
            <v>334.2</v>
          </cell>
          <cell r="F148">
            <v>8974.9786273999998</v>
          </cell>
          <cell r="G148">
            <v>359932.54</v>
          </cell>
          <cell r="H148">
            <v>2733</v>
          </cell>
          <cell r="I148">
            <v>25434227.829999998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324.89999999999998</v>
          </cell>
          <cell r="E149">
            <v>90</v>
          </cell>
          <cell r="F149">
            <v>12226.912053690001</v>
          </cell>
          <cell r="G149">
            <v>132050.65</v>
          </cell>
          <cell r="H149">
            <v>292</v>
          </cell>
          <cell r="I149">
            <v>4100729.46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156.19999999999999</v>
          </cell>
          <cell r="E150">
            <v>84</v>
          </cell>
          <cell r="F150">
            <v>14783.33531509</v>
          </cell>
          <cell r="G150">
            <v>149016.01999999999</v>
          </cell>
          <cell r="H150">
            <v>155</v>
          </cell>
          <cell r="I150">
            <v>2458173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226.5</v>
          </cell>
          <cell r="E151">
            <v>164.3</v>
          </cell>
          <cell r="F151">
            <v>14687.21397907</v>
          </cell>
          <cell r="G151">
            <v>289573.11</v>
          </cell>
          <cell r="H151">
            <v>215</v>
          </cell>
          <cell r="I151">
            <v>3616227.08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643.29999999999995</v>
          </cell>
          <cell r="E152">
            <v>471.2</v>
          </cell>
          <cell r="F152">
            <v>8976.2407013100001</v>
          </cell>
          <cell r="G152">
            <v>874398.86</v>
          </cell>
          <cell r="H152">
            <v>562</v>
          </cell>
          <cell r="I152">
            <v>6648814.5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81</v>
          </cell>
          <cell r="E153">
            <v>37.799999999999997</v>
          </cell>
          <cell r="F153">
            <v>18116.180823160001</v>
          </cell>
          <cell r="G153">
            <v>82175</v>
          </cell>
          <cell r="H153">
            <v>72</v>
          </cell>
          <cell r="I153">
            <v>1549585.65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919.3</v>
          </cell>
          <cell r="E154">
            <v>158.1</v>
          </cell>
          <cell r="F154">
            <v>11914.59526237</v>
          </cell>
          <cell r="G154">
            <v>226043.7</v>
          </cell>
          <cell r="H154">
            <v>885</v>
          </cell>
          <cell r="I154">
            <v>11179131.119999999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219.2</v>
          </cell>
          <cell r="E155">
            <v>43.6</v>
          </cell>
          <cell r="F155">
            <v>14518.97483134</v>
          </cell>
          <cell r="G155">
            <v>75963.28</v>
          </cell>
          <cell r="H155">
            <v>171</v>
          </cell>
          <cell r="I155">
            <v>3258522.56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813.5</v>
          </cell>
          <cell r="E156">
            <v>371.1</v>
          </cell>
          <cell r="F156">
            <v>8881.0284578800001</v>
          </cell>
          <cell r="G156">
            <v>424325.23</v>
          </cell>
          <cell r="H156">
            <v>803</v>
          </cell>
          <cell r="I156">
            <v>7347939.5899999999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148.5</v>
          </cell>
          <cell r="E157">
            <v>56.2</v>
          </cell>
          <cell r="F157">
            <v>15247.01356257</v>
          </cell>
          <cell r="G157">
            <v>102825.86</v>
          </cell>
          <cell r="H157">
            <v>139</v>
          </cell>
          <cell r="I157">
            <v>2367007.37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3511</v>
          </cell>
          <cell r="E158">
            <v>857</v>
          </cell>
          <cell r="F158">
            <v>9204.6440153900003</v>
          </cell>
          <cell r="G158">
            <v>946605.59</v>
          </cell>
          <cell r="H158">
            <v>3445</v>
          </cell>
          <cell r="I158">
            <v>33263288.079999998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357.3</v>
          </cell>
          <cell r="E159">
            <v>208.2</v>
          </cell>
          <cell r="F159">
            <v>10943.245375959999</v>
          </cell>
          <cell r="G159">
            <v>273406.03999999998</v>
          </cell>
          <cell r="H159">
            <v>338</v>
          </cell>
          <cell r="I159">
            <v>4183427.61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2316</v>
          </cell>
          <cell r="E160">
            <v>571.4</v>
          </cell>
          <cell r="F160">
            <v>8539.4490396900001</v>
          </cell>
          <cell r="G160">
            <v>585532.93999999994</v>
          </cell>
          <cell r="H160">
            <v>2166</v>
          </cell>
          <cell r="I160">
            <v>20362896.920000002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384.8</v>
          </cell>
          <cell r="E161">
            <v>152.6</v>
          </cell>
          <cell r="F161">
            <v>10595.331692</v>
          </cell>
          <cell r="G161">
            <v>194021.71</v>
          </cell>
          <cell r="H161">
            <v>357</v>
          </cell>
          <cell r="I161">
            <v>4271105.3499999996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107</v>
          </cell>
          <cell r="E162">
            <v>50.5</v>
          </cell>
          <cell r="F162">
            <v>16564.218972390001</v>
          </cell>
          <cell r="G162">
            <v>100379.17</v>
          </cell>
          <cell r="H162">
            <v>94</v>
          </cell>
          <cell r="I162">
            <v>1872750.6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225.6</v>
          </cell>
          <cell r="E163">
            <v>92</v>
          </cell>
          <cell r="F163">
            <v>13363.17767374</v>
          </cell>
          <cell r="G163">
            <v>147529.48000000001</v>
          </cell>
          <cell r="H163">
            <v>202</v>
          </cell>
          <cell r="I163">
            <v>3162262.36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128</v>
          </cell>
          <cell r="E164">
            <v>50.6</v>
          </cell>
          <cell r="F164">
            <v>16295.61855822</v>
          </cell>
          <cell r="G164">
            <v>98947</v>
          </cell>
          <cell r="H164">
            <v>130</v>
          </cell>
          <cell r="I164">
            <v>2184786.1800000002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95.7</v>
          </cell>
          <cell r="E165">
            <v>47</v>
          </cell>
          <cell r="F165">
            <v>16773.915095069999</v>
          </cell>
          <cell r="G165">
            <v>94604.88</v>
          </cell>
          <cell r="H165">
            <v>80</v>
          </cell>
          <cell r="I165">
            <v>1699868.55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1905.2</v>
          </cell>
          <cell r="E166">
            <v>867.9</v>
          </cell>
          <cell r="F166">
            <v>8592.6046833700002</v>
          </cell>
          <cell r="G166">
            <v>971480.4</v>
          </cell>
          <cell r="H166">
            <v>1834</v>
          </cell>
          <cell r="I166">
            <v>17341900.239999998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2033</v>
          </cell>
          <cell r="E167">
            <v>430.6</v>
          </cell>
          <cell r="F167">
            <v>8480.7738473999998</v>
          </cell>
          <cell r="G167">
            <v>438218.55</v>
          </cell>
          <cell r="H167">
            <v>1968</v>
          </cell>
          <cell r="I167">
            <v>17679631.780000001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2563</v>
          </cell>
          <cell r="E168">
            <v>829.9</v>
          </cell>
          <cell r="F168">
            <v>8463.1105460500003</v>
          </cell>
          <cell r="G168">
            <v>842824.25</v>
          </cell>
          <cell r="H168">
            <v>2511</v>
          </cell>
          <cell r="I168">
            <v>22533776.579999998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7127</v>
          </cell>
          <cell r="E169">
            <v>774.2</v>
          </cell>
          <cell r="F169">
            <v>8259.5020948099991</v>
          </cell>
          <cell r="G169">
            <v>767340.78</v>
          </cell>
          <cell r="H169">
            <v>7113</v>
          </cell>
          <cell r="I169">
            <v>61818101.329999998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3894.5</v>
          </cell>
          <cell r="E170">
            <v>820.6</v>
          </cell>
          <cell r="F170">
            <v>8297.0976535400005</v>
          </cell>
          <cell r="G170">
            <v>817031.8</v>
          </cell>
          <cell r="H170">
            <v>3822</v>
          </cell>
          <cell r="I170">
            <v>33780075.159999996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22420.3</v>
          </cell>
          <cell r="E171">
            <v>11538.2</v>
          </cell>
          <cell r="F171">
            <v>8340.9829315999996</v>
          </cell>
          <cell r="G171">
            <v>13175115.029999999</v>
          </cell>
          <cell r="H171">
            <v>22341</v>
          </cell>
          <cell r="I171">
            <v>200182680.25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1152.0999999999999</v>
          </cell>
          <cell r="E172">
            <v>413.7</v>
          </cell>
          <cell r="F172">
            <v>8897.7025419900001</v>
          </cell>
          <cell r="G172">
            <v>444813.05</v>
          </cell>
          <cell r="H172">
            <v>1093</v>
          </cell>
          <cell r="I172">
            <v>10695856.15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2337.3000000000002</v>
          </cell>
          <cell r="E173">
            <v>1155.7</v>
          </cell>
          <cell r="F173">
            <v>8612.9676476099994</v>
          </cell>
          <cell r="G173">
            <v>1360570.51</v>
          </cell>
          <cell r="H173">
            <v>2243</v>
          </cell>
          <cell r="I173">
            <v>21491659.789999999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962.5</v>
          </cell>
          <cell r="E174">
            <v>354.2</v>
          </cell>
          <cell r="F174">
            <v>8989.4987591499994</v>
          </cell>
          <cell r="G174">
            <v>384321.83</v>
          </cell>
          <cell r="H174">
            <v>943</v>
          </cell>
          <cell r="I174">
            <v>9036714.3900000006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179</v>
          </cell>
          <cell r="E175">
            <v>39</v>
          </cell>
          <cell r="F175">
            <v>14858.15153696</v>
          </cell>
          <cell r="G175">
            <v>69536.149999999994</v>
          </cell>
          <cell r="H175">
            <v>170</v>
          </cell>
          <cell r="I175">
            <v>2729145.28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216</v>
          </cell>
          <cell r="E176">
            <v>36</v>
          </cell>
          <cell r="F176">
            <v>13749.88359035</v>
          </cell>
          <cell r="G176">
            <v>59399.5</v>
          </cell>
          <cell r="H176">
            <v>210</v>
          </cell>
          <cell r="I176">
            <v>3029374.36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78.2</v>
          </cell>
          <cell r="E177">
            <v>25</v>
          </cell>
          <cell r="F177">
            <v>17752.83925859</v>
          </cell>
          <cell r="G177">
            <v>53258.52</v>
          </cell>
          <cell r="H177">
            <v>73</v>
          </cell>
          <cell r="I177">
            <v>1441530.55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864</v>
          </cell>
          <cell r="E178">
            <v>453.5</v>
          </cell>
          <cell r="F178">
            <v>9334.6513622700004</v>
          </cell>
          <cell r="G178">
            <v>596959.16</v>
          </cell>
          <cell r="H178">
            <v>839</v>
          </cell>
          <cell r="I178">
            <v>8662097.9399999995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733.5</v>
          </cell>
          <cell r="E179">
            <v>280.60000000000002</v>
          </cell>
          <cell r="F179">
            <v>9209.8784449800005</v>
          </cell>
          <cell r="G179">
            <v>315187.83</v>
          </cell>
          <cell r="H179">
            <v>707</v>
          </cell>
          <cell r="I179">
            <v>7070633.6699999999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200.9</v>
          </cell>
          <cell r="E180">
            <v>62.6</v>
          </cell>
          <cell r="F180">
            <v>14199.407144749999</v>
          </cell>
          <cell r="G180">
            <v>106665.95</v>
          </cell>
          <cell r="H180">
            <v>182</v>
          </cell>
          <cell r="I180">
            <v>2959326.85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62.1</v>
          </cell>
          <cell r="E181">
            <v>19.7</v>
          </cell>
          <cell r="F181">
            <v>18873.86664384</v>
          </cell>
          <cell r="G181">
            <v>44617.82</v>
          </cell>
          <cell r="H181">
            <v>59</v>
          </cell>
          <cell r="I181">
            <v>1216684.94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 Form"/>
      <sheetName val="Inputs"/>
      <sheetName val="Omar Blair"/>
      <sheetName val="Original Form"/>
      <sheetName val="Sheet5"/>
      <sheetName val="Sheet4"/>
      <sheetName val="Sheet2"/>
      <sheetName val="Sheet3"/>
    </sheetNames>
    <sheetDataSet>
      <sheetData sheetId="0"/>
      <sheetData sheetId="1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5"/>
  <sheetViews>
    <sheetView tabSelected="1" topLeftCell="A521" zoomScaleNormal="100" workbookViewId="0">
      <selection activeCell="M430" sqref="M430"/>
    </sheetView>
  </sheetViews>
  <sheetFormatPr defaultColWidth="9.140625" defaultRowHeight="15" x14ac:dyDescent="0.25"/>
  <cols>
    <col min="1" max="1" width="5.140625" style="13" customWidth="1"/>
    <col min="2" max="2" width="10.5703125" style="13" customWidth="1"/>
    <col min="3" max="3" width="17.5703125" style="13" bestFit="1" customWidth="1"/>
    <col min="4" max="4" width="14.42578125" bestFit="1" customWidth="1"/>
    <col min="5" max="5" width="33.42578125" style="13" customWidth="1"/>
    <col min="6" max="6" width="3" style="13" customWidth="1"/>
    <col min="7" max="7" width="11.42578125" style="13" customWidth="1"/>
    <col min="8" max="8" width="9.5703125" style="13" bestFit="1" customWidth="1"/>
    <col min="9" max="9" width="16.140625" style="13" bestFit="1" customWidth="1"/>
    <col min="10" max="10" width="16" style="13" bestFit="1" customWidth="1"/>
    <col min="11" max="11" width="16.85546875" style="13" customWidth="1"/>
    <col min="12" max="12" width="15.42578125" style="13" bestFit="1" customWidth="1"/>
    <col min="13" max="13" width="18.42578125" style="13" customWidth="1"/>
    <col min="14" max="14" width="15.42578125" style="13" bestFit="1" customWidth="1"/>
    <col min="15" max="15" width="13.42578125" style="13" bestFit="1" customWidth="1"/>
    <col min="16" max="16" width="10.42578125" style="13" bestFit="1" customWidth="1"/>
    <col min="17" max="17" width="9.5703125" style="13" bestFit="1" customWidth="1"/>
    <col min="18" max="18" width="10.42578125" style="13" bestFit="1" customWidth="1"/>
    <col min="19" max="16384" width="9.140625" style="13"/>
  </cols>
  <sheetData>
    <row r="1" spans="1:15" ht="12.75" x14ac:dyDescent="0.2">
      <c r="A1" s="17" t="s">
        <v>170</v>
      </c>
      <c r="B1" s="17"/>
      <c r="C1" s="11"/>
      <c r="D1" s="11"/>
      <c r="E1" s="17"/>
      <c r="F1" s="19"/>
      <c r="G1" s="19"/>
      <c r="H1" s="19"/>
      <c r="I1" s="19"/>
      <c r="J1" s="19"/>
      <c r="K1" s="19"/>
      <c r="L1" s="19"/>
      <c r="M1" s="19"/>
      <c r="N1" s="19"/>
    </row>
    <row r="2" spans="1:15" ht="60" customHeight="1" x14ac:dyDescent="0.2">
      <c r="A2" s="20" t="s">
        <v>171</v>
      </c>
      <c r="B2" s="20"/>
      <c r="C2" s="11"/>
      <c r="D2" s="11" t="s">
        <v>38</v>
      </c>
      <c r="E2" s="17" t="s">
        <v>39</v>
      </c>
      <c r="F2" s="12"/>
      <c r="G2" s="23" t="s">
        <v>0</v>
      </c>
      <c r="H2" s="23" t="s">
        <v>1</v>
      </c>
      <c r="I2" s="23" t="s">
        <v>2</v>
      </c>
      <c r="J2" s="23" t="s">
        <v>3</v>
      </c>
      <c r="K2" s="23" t="s">
        <v>4</v>
      </c>
      <c r="L2" s="23" t="s">
        <v>5</v>
      </c>
      <c r="M2" s="23" t="s">
        <v>28</v>
      </c>
      <c r="N2" s="23" t="s">
        <v>6</v>
      </c>
    </row>
    <row r="3" spans="1:15" x14ac:dyDescent="0.25">
      <c r="C3" s="6"/>
      <c r="E3" s="6"/>
      <c r="F3" s="6"/>
      <c r="G3" s="14"/>
      <c r="H3" s="10"/>
      <c r="I3" s="10"/>
      <c r="J3" s="10"/>
      <c r="K3" s="10"/>
      <c r="L3" s="10"/>
      <c r="M3" s="10"/>
      <c r="N3" s="5"/>
    </row>
    <row r="4" spans="1:15" ht="12.75" x14ac:dyDescent="0.2">
      <c r="A4" s="35" t="s">
        <v>142</v>
      </c>
      <c r="B4" s="13" t="s">
        <v>86</v>
      </c>
      <c r="C4" s="1" t="s">
        <v>172</v>
      </c>
      <c r="D4" s="21" t="s">
        <v>44</v>
      </c>
      <c r="E4" s="1" t="s">
        <v>177</v>
      </c>
      <c r="G4" s="36">
        <v>1839</v>
      </c>
      <c r="H4" s="10">
        <v>7890.8685587645041</v>
      </c>
      <c r="I4" s="10">
        <f>ROUND(G4*H4,2)</f>
        <v>14511307.279999999</v>
      </c>
      <c r="J4" s="2">
        <f t="shared" ref="J4:J41" si="0">ROUND(I4/12,2)</f>
        <v>1209275.6100000001</v>
      </c>
      <c r="K4" s="3">
        <f t="shared" ref="K4:K41" si="1">ROUND(I4*-0.01/12,2)</f>
        <v>-12092.76</v>
      </c>
      <c r="L4" s="3">
        <f t="shared" ref="L4:L41" si="2">ROUND(I4*-0.03/12,2)</f>
        <v>-36278.269999999997</v>
      </c>
      <c r="M4" s="3">
        <v>-103124.69</v>
      </c>
      <c r="N4" s="5">
        <f t="shared" ref="N4:N41" si="3">J4+K4+L4+M4</f>
        <v>1057779.8900000001</v>
      </c>
    </row>
    <row r="5" spans="1:15" ht="12.75" x14ac:dyDescent="0.2">
      <c r="A5" s="35" t="s">
        <v>142</v>
      </c>
      <c r="B5" s="13" t="s">
        <v>86</v>
      </c>
      <c r="C5" s="5" t="s">
        <v>172</v>
      </c>
      <c r="D5" s="21" t="s">
        <v>68</v>
      </c>
      <c r="E5" s="5" t="s">
        <v>178</v>
      </c>
      <c r="G5" s="36">
        <v>845</v>
      </c>
      <c r="H5" s="10">
        <v>7890.8685587645041</v>
      </c>
      <c r="I5" s="10">
        <f t="shared" ref="I5:I41" si="4">ROUND(G5*H5,2)</f>
        <v>6667783.9299999997</v>
      </c>
      <c r="J5" s="2">
        <f t="shared" si="0"/>
        <v>555648.66</v>
      </c>
      <c r="K5" s="3">
        <f t="shared" si="1"/>
        <v>-5556.49</v>
      </c>
      <c r="L5" s="3">
        <f t="shared" si="2"/>
        <v>-16669.46</v>
      </c>
      <c r="M5" s="3">
        <v>-32824.17</v>
      </c>
      <c r="N5" s="5">
        <f t="shared" si="3"/>
        <v>500598.5400000001</v>
      </c>
    </row>
    <row r="6" spans="1:15" ht="12.75" x14ac:dyDescent="0.2">
      <c r="A6" s="35" t="s">
        <v>142</v>
      </c>
      <c r="B6" s="13" t="s">
        <v>86</v>
      </c>
      <c r="C6" s="1" t="s">
        <v>172</v>
      </c>
      <c r="D6" s="22" t="s">
        <v>146</v>
      </c>
      <c r="E6" s="1" t="s">
        <v>179</v>
      </c>
      <c r="G6" s="36">
        <v>2001</v>
      </c>
      <c r="H6" s="10">
        <v>7890.8685587645041</v>
      </c>
      <c r="I6" s="10">
        <f t="shared" si="4"/>
        <v>15789627.99</v>
      </c>
      <c r="J6" s="2">
        <f t="shared" si="0"/>
        <v>1315802.33</v>
      </c>
      <c r="K6" s="3">
        <f t="shared" si="1"/>
        <v>-13158.02</v>
      </c>
      <c r="L6" s="3">
        <f t="shared" si="2"/>
        <v>-39474.07</v>
      </c>
      <c r="M6" s="3">
        <v>-188336.66999999998</v>
      </c>
      <c r="N6" s="5">
        <f t="shared" si="3"/>
        <v>1074833.57</v>
      </c>
    </row>
    <row r="7" spans="1:15" ht="12.75" x14ac:dyDescent="0.2">
      <c r="A7" s="35" t="s">
        <v>153</v>
      </c>
      <c r="B7" s="13" t="s">
        <v>89</v>
      </c>
      <c r="C7" s="5" t="s">
        <v>29</v>
      </c>
      <c r="D7" s="21" t="s">
        <v>80</v>
      </c>
      <c r="E7" s="5" t="s">
        <v>180</v>
      </c>
      <c r="G7" s="36">
        <v>375</v>
      </c>
      <c r="H7" s="10">
        <v>8714.1967120380505</v>
      </c>
      <c r="I7" s="10">
        <f t="shared" si="4"/>
        <v>3267823.77</v>
      </c>
      <c r="J7" s="2">
        <f t="shared" si="0"/>
        <v>272318.65000000002</v>
      </c>
      <c r="K7" s="3">
        <f t="shared" si="1"/>
        <v>-2723.19</v>
      </c>
      <c r="L7" s="3">
        <f t="shared" si="2"/>
        <v>-8169.56</v>
      </c>
      <c r="M7" s="3">
        <v>-98254.89</v>
      </c>
      <c r="N7" s="5">
        <f t="shared" si="3"/>
        <v>163171.01</v>
      </c>
    </row>
    <row r="8" spans="1:15" ht="12.75" x14ac:dyDescent="0.2">
      <c r="A8" s="35" t="s">
        <v>153</v>
      </c>
      <c r="B8" s="13" t="s">
        <v>89</v>
      </c>
      <c r="C8" s="5" t="s">
        <v>29</v>
      </c>
      <c r="D8" s="21" t="s">
        <v>49</v>
      </c>
      <c r="E8" s="5" t="s">
        <v>181</v>
      </c>
      <c r="G8" s="36">
        <v>322</v>
      </c>
      <c r="H8" s="10">
        <v>8714.1967120380505</v>
      </c>
      <c r="I8" s="10">
        <f t="shared" si="4"/>
        <v>2805971.34</v>
      </c>
      <c r="J8" s="2">
        <f t="shared" si="0"/>
        <v>233830.95</v>
      </c>
      <c r="K8" s="3">
        <f t="shared" si="1"/>
        <v>-2338.31</v>
      </c>
      <c r="L8" s="3">
        <f t="shared" si="2"/>
        <v>-7014.93</v>
      </c>
      <c r="M8" s="3"/>
      <c r="N8" s="5">
        <f t="shared" si="3"/>
        <v>224477.71000000002</v>
      </c>
    </row>
    <row r="9" spans="1:15" s="15" customFormat="1" ht="12.75" x14ac:dyDescent="0.2">
      <c r="A9" s="34" t="s">
        <v>153</v>
      </c>
      <c r="B9" s="13" t="s">
        <v>89</v>
      </c>
      <c r="C9" s="5" t="s">
        <v>29</v>
      </c>
      <c r="D9" s="21" t="s">
        <v>50</v>
      </c>
      <c r="E9" s="5" t="s">
        <v>182</v>
      </c>
      <c r="G9" s="36">
        <v>270.10000000000002</v>
      </c>
      <c r="H9" s="10">
        <v>8714.1967120380505</v>
      </c>
      <c r="I9" s="10">
        <f t="shared" si="4"/>
        <v>2353704.5299999998</v>
      </c>
      <c r="J9" s="2">
        <f t="shared" si="0"/>
        <v>196142.04</v>
      </c>
      <c r="K9" s="3">
        <f t="shared" si="1"/>
        <v>-1961.42</v>
      </c>
      <c r="L9" s="3">
        <f t="shared" si="2"/>
        <v>-5884.26</v>
      </c>
      <c r="M9" s="3"/>
      <c r="N9" s="5">
        <f t="shared" si="3"/>
        <v>188296.36</v>
      </c>
      <c r="O9" s="13"/>
    </row>
    <row r="10" spans="1:15" s="15" customFormat="1" ht="12.75" x14ac:dyDescent="0.2">
      <c r="A10" s="34" t="s">
        <v>153</v>
      </c>
      <c r="B10" s="13" t="s">
        <v>89</v>
      </c>
      <c r="C10" s="5" t="s">
        <v>29</v>
      </c>
      <c r="D10" s="21" t="s">
        <v>97</v>
      </c>
      <c r="E10" s="5" t="s">
        <v>183</v>
      </c>
      <c r="G10" s="36">
        <v>101</v>
      </c>
      <c r="H10" s="10">
        <v>8714.1967120380505</v>
      </c>
      <c r="I10" s="10">
        <f t="shared" si="4"/>
        <v>880133.87</v>
      </c>
      <c r="J10" s="2">
        <f t="shared" si="0"/>
        <v>73344.490000000005</v>
      </c>
      <c r="K10" s="3">
        <f t="shared" si="1"/>
        <v>-733.44</v>
      </c>
      <c r="L10" s="3">
        <f t="shared" si="2"/>
        <v>-2200.33</v>
      </c>
      <c r="M10" s="3"/>
      <c r="N10" s="5">
        <f t="shared" si="3"/>
        <v>70410.720000000001</v>
      </c>
      <c r="O10" s="13"/>
    </row>
    <row r="11" spans="1:15" s="15" customFormat="1" ht="12.75" x14ac:dyDescent="0.2">
      <c r="A11" s="34" t="s">
        <v>151</v>
      </c>
      <c r="B11" s="13" t="s">
        <v>86</v>
      </c>
      <c r="C11" s="1" t="s">
        <v>85</v>
      </c>
      <c r="D11" s="22" t="s">
        <v>46</v>
      </c>
      <c r="E11" s="4" t="s">
        <v>184</v>
      </c>
      <c r="G11" s="36">
        <v>685</v>
      </c>
      <c r="H11" s="10">
        <v>7792.632667540046</v>
      </c>
      <c r="I11" s="10">
        <f t="shared" si="4"/>
        <v>5337953.38</v>
      </c>
      <c r="J11" s="2">
        <f t="shared" si="0"/>
        <v>444829.45</v>
      </c>
      <c r="K11" s="3">
        <f t="shared" si="1"/>
        <v>-4448.29</v>
      </c>
      <c r="L11" s="3">
        <f t="shared" si="2"/>
        <v>-13344.88</v>
      </c>
      <c r="M11" s="3">
        <v>-68779.38</v>
      </c>
      <c r="N11" s="5">
        <f t="shared" si="3"/>
        <v>358256.9</v>
      </c>
      <c r="O11" s="13"/>
    </row>
    <row r="12" spans="1:15" s="15" customFormat="1" ht="12.75" x14ac:dyDescent="0.2">
      <c r="A12" s="34" t="s">
        <v>147</v>
      </c>
      <c r="B12" s="13" t="s">
        <v>86</v>
      </c>
      <c r="C12" s="5" t="s">
        <v>8</v>
      </c>
      <c r="D12" s="21" t="s">
        <v>45</v>
      </c>
      <c r="E12" s="18" t="s">
        <v>185</v>
      </c>
      <c r="G12" s="36">
        <v>750</v>
      </c>
      <c r="H12" s="10">
        <v>8566.0669376956666</v>
      </c>
      <c r="I12" s="10">
        <f t="shared" si="4"/>
        <v>6424550.2000000002</v>
      </c>
      <c r="J12" s="2">
        <f t="shared" si="0"/>
        <v>535379.18000000005</v>
      </c>
      <c r="K12" s="3">
        <f t="shared" si="1"/>
        <v>-5353.79</v>
      </c>
      <c r="L12" s="3">
        <f t="shared" si="2"/>
        <v>-16061.38</v>
      </c>
      <c r="M12" s="3">
        <v>-159948.34</v>
      </c>
      <c r="N12" s="5">
        <f t="shared" si="3"/>
        <v>354015.67000000004</v>
      </c>
      <c r="O12" s="13"/>
    </row>
    <row r="13" spans="1:15" s="15" customFormat="1" ht="12.75" x14ac:dyDescent="0.2">
      <c r="A13" s="34" t="s">
        <v>161</v>
      </c>
      <c r="B13" s="15" t="s">
        <v>90</v>
      </c>
      <c r="C13" s="5" t="s">
        <v>15</v>
      </c>
      <c r="D13" s="21" t="s">
        <v>55</v>
      </c>
      <c r="E13" s="5" t="s">
        <v>186</v>
      </c>
      <c r="G13" s="36">
        <v>550</v>
      </c>
      <c r="H13" s="10">
        <v>7977.364453823483</v>
      </c>
      <c r="I13" s="10">
        <f t="shared" si="4"/>
        <v>4387550.45</v>
      </c>
      <c r="J13" s="2">
        <f t="shared" si="0"/>
        <v>365629.2</v>
      </c>
      <c r="K13" s="3">
        <f t="shared" si="1"/>
        <v>-3656.29</v>
      </c>
      <c r="L13" s="3">
        <f t="shared" si="2"/>
        <v>-10968.88</v>
      </c>
      <c r="M13" s="3">
        <v>-146915.41999999998</v>
      </c>
      <c r="N13" s="5">
        <f t="shared" si="3"/>
        <v>204088.61000000004</v>
      </c>
      <c r="O13" s="13"/>
    </row>
    <row r="14" spans="1:15" s="15" customFormat="1" ht="12.75" x14ac:dyDescent="0.2">
      <c r="A14" s="34" t="s">
        <v>161</v>
      </c>
      <c r="B14" s="15" t="s">
        <v>90</v>
      </c>
      <c r="C14" s="5" t="s">
        <v>15</v>
      </c>
      <c r="D14" s="21" t="s">
        <v>56</v>
      </c>
      <c r="E14" s="5" t="s">
        <v>187</v>
      </c>
      <c r="G14" s="36">
        <v>239</v>
      </c>
      <c r="H14" s="10">
        <v>7977.364453823483</v>
      </c>
      <c r="I14" s="10">
        <f t="shared" si="4"/>
        <v>1906590.1</v>
      </c>
      <c r="J14" s="2">
        <f t="shared" si="0"/>
        <v>158882.51</v>
      </c>
      <c r="K14" s="3">
        <f t="shared" si="1"/>
        <v>-1588.83</v>
      </c>
      <c r="L14" s="3">
        <f t="shared" si="2"/>
        <v>-4766.4799999999996</v>
      </c>
      <c r="M14" s="3"/>
      <c r="N14" s="5">
        <f t="shared" si="3"/>
        <v>152527.20000000001</v>
      </c>
      <c r="O14" s="13"/>
    </row>
    <row r="15" spans="1:15" s="15" customFormat="1" ht="12.75" x14ac:dyDescent="0.2">
      <c r="A15" s="34" t="s">
        <v>161</v>
      </c>
      <c r="B15" s="15" t="s">
        <v>90</v>
      </c>
      <c r="C15" s="1" t="s">
        <v>15</v>
      </c>
      <c r="D15" s="22" t="s">
        <v>79</v>
      </c>
      <c r="E15" s="1" t="s">
        <v>77</v>
      </c>
      <c r="G15" s="36">
        <v>590</v>
      </c>
      <c r="H15" s="10">
        <v>7977.364453823483</v>
      </c>
      <c r="I15" s="10">
        <f t="shared" si="4"/>
        <v>4706645.03</v>
      </c>
      <c r="J15" s="2">
        <f t="shared" si="0"/>
        <v>392220.42</v>
      </c>
      <c r="K15" s="3">
        <f t="shared" si="1"/>
        <v>-3922.2</v>
      </c>
      <c r="L15" s="3">
        <f t="shared" si="2"/>
        <v>-11766.61</v>
      </c>
      <c r="M15" s="3"/>
      <c r="N15" s="5">
        <f t="shared" si="3"/>
        <v>376531.61</v>
      </c>
    </row>
    <row r="16" spans="1:15" s="15" customFormat="1" ht="12.75" x14ac:dyDescent="0.2">
      <c r="A16" s="34" t="s">
        <v>161</v>
      </c>
      <c r="B16" s="15" t="s">
        <v>90</v>
      </c>
      <c r="C16" s="1" t="s">
        <v>15</v>
      </c>
      <c r="D16" s="22" t="s">
        <v>54</v>
      </c>
      <c r="E16" s="1" t="s">
        <v>17</v>
      </c>
      <c r="G16" s="36">
        <v>404</v>
      </c>
      <c r="H16" s="10">
        <v>7977.364453823483</v>
      </c>
      <c r="I16" s="10">
        <f t="shared" si="4"/>
        <v>3222855.24</v>
      </c>
      <c r="J16" s="2">
        <f t="shared" si="0"/>
        <v>268571.27</v>
      </c>
      <c r="K16" s="3">
        <f t="shared" si="1"/>
        <v>-2685.71</v>
      </c>
      <c r="L16" s="3">
        <f t="shared" si="2"/>
        <v>-8057.14</v>
      </c>
      <c r="M16" s="3">
        <v>-42750</v>
      </c>
      <c r="N16" s="5">
        <f t="shared" si="3"/>
        <v>215078.41999999998</v>
      </c>
      <c r="O16" s="13"/>
    </row>
    <row r="17" spans="1:15" s="15" customFormat="1" ht="12.75" x14ac:dyDescent="0.2">
      <c r="A17" s="34" t="s">
        <v>161</v>
      </c>
      <c r="B17" s="15" t="s">
        <v>90</v>
      </c>
      <c r="C17" s="1" t="s">
        <v>15</v>
      </c>
      <c r="D17" s="22" t="s">
        <v>114</v>
      </c>
      <c r="E17" s="1" t="s">
        <v>124</v>
      </c>
      <c r="G17" s="36">
        <v>192</v>
      </c>
      <c r="H17" s="10">
        <v>7977.364453823483</v>
      </c>
      <c r="I17" s="10">
        <f t="shared" si="4"/>
        <v>1531653.98</v>
      </c>
      <c r="J17" s="2">
        <f t="shared" si="0"/>
        <v>127637.83</v>
      </c>
      <c r="K17" s="3">
        <f t="shared" si="1"/>
        <v>-1276.3800000000001</v>
      </c>
      <c r="L17" s="3">
        <f t="shared" si="2"/>
        <v>-3829.13</v>
      </c>
      <c r="M17" s="3"/>
      <c r="N17" s="5">
        <f t="shared" si="3"/>
        <v>122532.31999999999</v>
      </c>
      <c r="O17" s="13"/>
    </row>
    <row r="18" spans="1:15" ht="12.75" x14ac:dyDescent="0.2">
      <c r="A18" s="34" t="s">
        <v>161</v>
      </c>
      <c r="B18" s="15" t="s">
        <v>90</v>
      </c>
      <c r="C18" s="1" t="s">
        <v>15</v>
      </c>
      <c r="D18" s="22" t="s">
        <v>118</v>
      </c>
      <c r="E18" s="4" t="s">
        <v>119</v>
      </c>
      <c r="G18" s="36">
        <v>263</v>
      </c>
      <c r="H18" s="10">
        <v>7977.364453823483</v>
      </c>
      <c r="I18" s="10">
        <f t="shared" si="4"/>
        <v>2098046.85</v>
      </c>
      <c r="J18" s="2">
        <f t="shared" si="0"/>
        <v>174837.24</v>
      </c>
      <c r="K18" s="3">
        <f t="shared" si="1"/>
        <v>-1748.37</v>
      </c>
      <c r="L18" s="3">
        <f t="shared" si="2"/>
        <v>-5245.12</v>
      </c>
      <c r="M18" s="3"/>
      <c r="N18" s="5">
        <f t="shared" si="3"/>
        <v>167843.75</v>
      </c>
    </row>
    <row r="19" spans="1:15" ht="12.75" x14ac:dyDescent="0.2">
      <c r="A19" s="34" t="s">
        <v>161</v>
      </c>
      <c r="B19" s="15" t="s">
        <v>90</v>
      </c>
      <c r="C19" s="1" t="s">
        <v>15</v>
      </c>
      <c r="D19" s="22" t="s">
        <v>58</v>
      </c>
      <c r="E19" s="1" t="s">
        <v>188</v>
      </c>
      <c r="G19" s="36">
        <v>324</v>
      </c>
      <c r="H19" s="10">
        <v>7977.364453823483</v>
      </c>
      <c r="I19" s="10">
        <f t="shared" si="4"/>
        <v>2584666.08</v>
      </c>
      <c r="J19" s="2">
        <f t="shared" si="0"/>
        <v>215388.84</v>
      </c>
      <c r="K19" s="3">
        <f t="shared" si="1"/>
        <v>-2153.89</v>
      </c>
      <c r="L19" s="3">
        <f t="shared" si="2"/>
        <v>-6461.67</v>
      </c>
      <c r="M19" s="3">
        <v>-17773.8</v>
      </c>
      <c r="N19" s="5">
        <f t="shared" si="3"/>
        <v>188999.47999999998</v>
      </c>
    </row>
    <row r="20" spans="1:15" ht="12.75" x14ac:dyDescent="0.2">
      <c r="A20" s="34" t="s">
        <v>161</v>
      </c>
      <c r="B20" s="15" t="s">
        <v>90</v>
      </c>
      <c r="C20" s="1" t="s">
        <v>15</v>
      </c>
      <c r="D20" s="22" t="s">
        <v>71</v>
      </c>
      <c r="E20" s="4" t="s">
        <v>70</v>
      </c>
      <c r="G20" s="36">
        <v>70</v>
      </c>
      <c r="H20" s="10">
        <v>7977.364453823483</v>
      </c>
      <c r="I20" s="10">
        <f t="shared" si="4"/>
        <v>558415.51</v>
      </c>
      <c r="J20" s="2">
        <f t="shared" si="0"/>
        <v>46534.63</v>
      </c>
      <c r="K20" s="3">
        <f t="shared" si="1"/>
        <v>-465.35</v>
      </c>
      <c r="L20" s="3">
        <f t="shared" si="2"/>
        <v>-1396.04</v>
      </c>
      <c r="M20" s="3"/>
      <c r="N20" s="5">
        <f t="shared" si="3"/>
        <v>44673.24</v>
      </c>
    </row>
    <row r="21" spans="1:15" ht="12.75" x14ac:dyDescent="0.2">
      <c r="A21" s="34" t="s">
        <v>161</v>
      </c>
      <c r="B21" s="15" t="s">
        <v>90</v>
      </c>
      <c r="C21" s="7" t="s">
        <v>15</v>
      </c>
      <c r="D21" s="21" t="s">
        <v>57</v>
      </c>
      <c r="E21" s="7" t="s">
        <v>32</v>
      </c>
      <c r="G21" s="36">
        <v>327.62</v>
      </c>
      <c r="H21" s="10">
        <v>7977.364453823483</v>
      </c>
      <c r="I21" s="10">
        <f t="shared" si="4"/>
        <v>2613544.14</v>
      </c>
      <c r="J21" s="2">
        <f t="shared" si="0"/>
        <v>217795.35</v>
      </c>
      <c r="K21" s="3">
        <f t="shared" si="1"/>
        <v>-2177.9499999999998</v>
      </c>
      <c r="L21" s="3">
        <f t="shared" si="2"/>
        <v>-6533.86</v>
      </c>
      <c r="M21" s="3"/>
      <c r="N21" s="5">
        <f t="shared" si="3"/>
        <v>209083.54</v>
      </c>
      <c r="O21" s="15"/>
    </row>
    <row r="22" spans="1:15" ht="12.75" x14ac:dyDescent="0.2">
      <c r="A22" s="34" t="s">
        <v>161</v>
      </c>
      <c r="B22" s="15" t="s">
        <v>90</v>
      </c>
      <c r="C22" s="1" t="s">
        <v>15</v>
      </c>
      <c r="D22" s="21" t="s">
        <v>53</v>
      </c>
      <c r="E22" s="1" t="s">
        <v>189</v>
      </c>
      <c r="G22" s="36">
        <v>907</v>
      </c>
      <c r="H22" s="10">
        <v>7977.364453823483</v>
      </c>
      <c r="I22" s="10">
        <f t="shared" si="4"/>
        <v>7235469.5599999996</v>
      </c>
      <c r="J22" s="2">
        <f t="shared" si="0"/>
        <v>602955.80000000005</v>
      </c>
      <c r="K22" s="3">
        <f t="shared" si="1"/>
        <v>-6029.56</v>
      </c>
      <c r="L22" s="3">
        <f t="shared" si="2"/>
        <v>-18088.669999999998</v>
      </c>
      <c r="M22" s="3">
        <v>-63505.26</v>
      </c>
      <c r="N22" s="5">
        <f t="shared" si="3"/>
        <v>515332.30999999994</v>
      </c>
      <c r="O22" s="15"/>
    </row>
    <row r="23" spans="1:15" ht="12.75" x14ac:dyDescent="0.2">
      <c r="A23" s="35" t="s">
        <v>157</v>
      </c>
      <c r="B23" s="13" t="s">
        <v>87</v>
      </c>
      <c r="C23" s="5" t="s">
        <v>87</v>
      </c>
      <c r="D23" s="21" t="s">
        <v>173</v>
      </c>
      <c r="E23" s="5" t="s">
        <v>190</v>
      </c>
      <c r="G23" s="36">
        <v>633.79999999999995</v>
      </c>
      <c r="H23" s="10">
        <v>7760.0841571334395</v>
      </c>
      <c r="I23" s="10">
        <f t="shared" si="4"/>
        <v>4918341.34</v>
      </c>
      <c r="J23" s="2">
        <f t="shared" si="0"/>
        <v>409861.78</v>
      </c>
      <c r="K23" s="3">
        <f t="shared" si="1"/>
        <v>-4098.62</v>
      </c>
      <c r="L23" s="3">
        <f t="shared" si="2"/>
        <v>-12295.85</v>
      </c>
      <c r="M23" s="3"/>
      <c r="N23" s="5">
        <f t="shared" si="3"/>
        <v>393467.31000000006</v>
      </c>
    </row>
    <row r="24" spans="1:15" ht="12.75" x14ac:dyDescent="0.2">
      <c r="A24" s="35" t="s">
        <v>157</v>
      </c>
      <c r="B24" s="13" t="s">
        <v>87</v>
      </c>
      <c r="C24" s="1" t="s">
        <v>87</v>
      </c>
      <c r="D24" s="22" t="s">
        <v>51</v>
      </c>
      <c r="E24" s="1" t="s">
        <v>191</v>
      </c>
      <c r="G24" s="36">
        <v>840</v>
      </c>
      <c r="H24" s="10">
        <v>7760.0841571334395</v>
      </c>
      <c r="I24" s="10">
        <f t="shared" si="4"/>
        <v>6518470.6900000004</v>
      </c>
      <c r="J24" s="2">
        <f t="shared" si="0"/>
        <v>543205.89</v>
      </c>
      <c r="K24" s="3">
        <f t="shared" si="1"/>
        <v>-5432.06</v>
      </c>
      <c r="L24" s="3">
        <f t="shared" si="2"/>
        <v>-16296.18</v>
      </c>
      <c r="M24" s="3">
        <v>-74461.25</v>
      </c>
      <c r="N24" s="5">
        <f t="shared" si="3"/>
        <v>447016.39999999997</v>
      </c>
    </row>
    <row r="25" spans="1:15" ht="12.75" x14ac:dyDescent="0.2">
      <c r="A25" s="35" t="s">
        <v>165</v>
      </c>
      <c r="B25" s="13" t="s">
        <v>91</v>
      </c>
      <c r="C25" s="7" t="s">
        <v>21</v>
      </c>
      <c r="D25" s="22" t="s">
        <v>61</v>
      </c>
      <c r="E25" s="7" t="s">
        <v>192</v>
      </c>
      <c r="G25" s="36">
        <v>192</v>
      </c>
      <c r="H25" s="10">
        <v>8011.8374864182242</v>
      </c>
      <c r="I25" s="10">
        <f t="shared" si="4"/>
        <v>1538272.8</v>
      </c>
      <c r="J25" s="2">
        <f t="shared" si="0"/>
        <v>128189.4</v>
      </c>
      <c r="K25" s="3">
        <f t="shared" si="1"/>
        <v>-1281.8900000000001</v>
      </c>
      <c r="L25" s="3">
        <f t="shared" si="2"/>
        <v>-3845.68</v>
      </c>
      <c r="M25" s="3"/>
      <c r="N25" s="5">
        <f t="shared" si="3"/>
        <v>123061.83</v>
      </c>
    </row>
    <row r="26" spans="1:15" ht="12.75" x14ac:dyDescent="0.2">
      <c r="A26" s="35" t="s">
        <v>165</v>
      </c>
      <c r="B26" s="13" t="s">
        <v>91</v>
      </c>
      <c r="C26" s="5" t="s">
        <v>21</v>
      </c>
      <c r="D26" s="21" t="s">
        <v>62</v>
      </c>
      <c r="E26" s="5" t="s">
        <v>23</v>
      </c>
      <c r="G26" s="36">
        <v>242.5</v>
      </c>
      <c r="H26" s="10">
        <v>8011.8374864182242</v>
      </c>
      <c r="I26" s="10">
        <f t="shared" si="4"/>
        <v>1942870.59</v>
      </c>
      <c r="J26" s="2">
        <f t="shared" si="0"/>
        <v>161905.88</v>
      </c>
      <c r="K26" s="3">
        <f t="shared" si="1"/>
        <v>-1619.06</v>
      </c>
      <c r="L26" s="3">
        <f t="shared" si="2"/>
        <v>-4857.18</v>
      </c>
      <c r="M26" s="3"/>
      <c r="N26" s="5">
        <f t="shared" si="3"/>
        <v>155429.64000000001</v>
      </c>
    </row>
    <row r="27" spans="1:15" ht="12.75" x14ac:dyDescent="0.2">
      <c r="A27" s="35" t="s">
        <v>158</v>
      </c>
      <c r="B27" s="13" t="s">
        <v>13</v>
      </c>
      <c r="C27" s="5" t="s">
        <v>13</v>
      </c>
      <c r="D27" s="21" t="s">
        <v>52</v>
      </c>
      <c r="E27" s="5" t="s">
        <v>193</v>
      </c>
      <c r="G27" s="36">
        <v>315</v>
      </c>
      <c r="H27" s="10">
        <v>8335.6055726040868</v>
      </c>
      <c r="I27" s="10">
        <f t="shared" si="4"/>
        <v>2625715.7599999998</v>
      </c>
      <c r="J27" s="2">
        <f t="shared" si="0"/>
        <v>218809.65</v>
      </c>
      <c r="K27" s="3">
        <f t="shared" si="1"/>
        <v>-2188.1</v>
      </c>
      <c r="L27" s="3">
        <f t="shared" si="2"/>
        <v>-6564.29</v>
      </c>
      <c r="M27" s="3"/>
      <c r="N27" s="5">
        <f t="shared" si="3"/>
        <v>210057.25999999998</v>
      </c>
    </row>
    <row r="28" spans="1:15" ht="12.75" x14ac:dyDescent="0.2">
      <c r="A28" s="35" t="s">
        <v>164</v>
      </c>
      <c r="B28" s="13" t="s">
        <v>84</v>
      </c>
      <c r="C28" s="1" t="s">
        <v>84</v>
      </c>
      <c r="D28" s="22" t="s">
        <v>96</v>
      </c>
      <c r="E28" s="1" t="s">
        <v>83</v>
      </c>
      <c r="G28" s="36">
        <v>689.64</v>
      </c>
      <c r="H28" s="10">
        <v>7890.111859375209</v>
      </c>
      <c r="I28" s="10">
        <f t="shared" si="4"/>
        <v>5441336.7400000002</v>
      </c>
      <c r="J28" s="2">
        <f t="shared" si="0"/>
        <v>453444.73</v>
      </c>
      <c r="K28" s="3">
        <f t="shared" si="1"/>
        <v>-4534.45</v>
      </c>
      <c r="L28" s="3">
        <f t="shared" si="2"/>
        <v>-13603.34</v>
      </c>
      <c r="M28" s="3">
        <v>-53039.46</v>
      </c>
      <c r="N28" s="5">
        <f t="shared" si="3"/>
        <v>382267.47999999992</v>
      </c>
      <c r="O28" s="15"/>
    </row>
    <row r="29" spans="1:15" ht="12.75" x14ac:dyDescent="0.2">
      <c r="A29" s="35" t="s">
        <v>168</v>
      </c>
      <c r="B29" s="13" t="s">
        <v>88</v>
      </c>
      <c r="C29" s="1" t="s">
        <v>25</v>
      </c>
      <c r="D29" s="22" t="s">
        <v>65</v>
      </c>
      <c r="E29" s="1" t="s">
        <v>26</v>
      </c>
      <c r="G29" s="36">
        <v>864</v>
      </c>
      <c r="H29" s="10">
        <v>7661.9794243650758</v>
      </c>
      <c r="I29" s="10">
        <f t="shared" si="4"/>
        <v>6619950.2199999997</v>
      </c>
      <c r="J29" s="2">
        <f t="shared" si="0"/>
        <v>551662.52</v>
      </c>
      <c r="K29" s="3">
        <f t="shared" si="1"/>
        <v>-5516.63</v>
      </c>
      <c r="L29" s="3">
        <f t="shared" si="2"/>
        <v>-16549.88</v>
      </c>
      <c r="M29" s="3">
        <v>-111593.33</v>
      </c>
      <c r="N29" s="5">
        <f t="shared" si="3"/>
        <v>418002.68</v>
      </c>
      <c r="O29" s="15"/>
    </row>
    <row r="30" spans="1:15" ht="12.75" x14ac:dyDescent="0.2">
      <c r="A30" s="35" t="s">
        <v>168</v>
      </c>
      <c r="B30" s="13" t="s">
        <v>88</v>
      </c>
      <c r="C30" s="1" t="s">
        <v>25</v>
      </c>
      <c r="D30" s="22" t="s">
        <v>81</v>
      </c>
      <c r="E30" s="1" t="s">
        <v>194</v>
      </c>
      <c r="G30" s="36">
        <v>61</v>
      </c>
      <c r="H30" s="10">
        <v>7661.9794243650758</v>
      </c>
      <c r="I30" s="10">
        <f t="shared" si="4"/>
        <v>467380.74</v>
      </c>
      <c r="J30" s="2">
        <f t="shared" si="0"/>
        <v>38948.400000000001</v>
      </c>
      <c r="K30" s="3">
        <f t="shared" si="1"/>
        <v>-389.48</v>
      </c>
      <c r="L30" s="3">
        <f t="shared" si="2"/>
        <v>-1168.45</v>
      </c>
      <c r="M30" s="3"/>
      <c r="N30" s="5">
        <f t="shared" si="3"/>
        <v>37390.47</v>
      </c>
    </row>
    <row r="31" spans="1:15" ht="12.75" x14ac:dyDescent="0.2">
      <c r="A31" s="35" t="s">
        <v>166</v>
      </c>
      <c r="B31" s="13" t="s">
        <v>92</v>
      </c>
      <c r="C31" s="1" t="s">
        <v>24</v>
      </c>
      <c r="D31" s="22" t="s">
        <v>63</v>
      </c>
      <c r="E31" s="1" t="s">
        <v>195</v>
      </c>
      <c r="G31" s="36">
        <v>195.24</v>
      </c>
      <c r="H31" s="10">
        <v>7662.0914110189869</v>
      </c>
      <c r="I31" s="10">
        <f t="shared" si="4"/>
        <v>1495946.73</v>
      </c>
      <c r="J31" s="2">
        <f t="shared" si="0"/>
        <v>124662.23</v>
      </c>
      <c r="K31" s="3">
        <f t="shared" si="1"/>
        <v>-1246.6199999999999</v>
      </c>
      <c r="L31" s="3">
        <f t="shared" si="2"/>
        <v>-3739.87</v>
      </c>
      <c r="M31" s="3"/>
      <c r="N31" s="5">
        <f t="shared" si="3"/>
        <v>119675.74</v>
      </c>
    </row>
    <row r="32" spans="1:15" ht="12.75" x14ac:dyDescent="0.2">
      <c r="A32" s="35" t="s">
        <v>166</v>
      </c>
      <c r="B32" s="13" t="s">
        <v>92</v>
      </c>
      <c r="C32" s="1" t="s">
        <v>24</v>
      </c>
      <c r="D32" s="22" t="s">
        <v>174</v>
      </c>
      <c r="E32" s="1" t="s">
        <v>196</v>
      </c>
      <c r="G32" s="36">
        <v>225</v>
      </c>
      <c r="H32" s="10">
        <v>7662.0914110189869</v>
      </c>
      <c r="I32" s="10">
        <f t="shared" si="4"/>
        <v>1723970.57</v>
      </c>
      <c r="J32" s="2">
        <f t="shared" si="0"/>
        <v>143664.21</v>
      </c>
      <c r="K32" s="3">
        <f t="shared" si="1"/>
        <v>-1436.64</v>
      </c>
      <c r="L32" s="3">
        <f t="shared" si="2"/>
        <v>-4309.93</v>
      </c>
      <c r="M32" s="3"/>
      <c r="N32" s="5">
        <f t="shared" si="3"/>
        <v>137917.63999999998</v>
      </c>
    </row>
    <row r="33" spans="1:15" ht="12.75" x14ac:dyDescent="0.2">
      <c r="A33" s="35" t="s">
        <v>166</v>
      </c>
      <c r="B33" s="13" t="s">
        <v>92</v>
      </c>
      <c r="C33" s="1" t="s">
        <v>24</v>
      </c>
      <c r="D33" s="22" t="s">
        <v>115</v>
      </c>
      <c r="E33" s="1" t="s">
        <v>120</v>
      </c>
      <c r="G33" s="36">
        <v>166</v>
      </c>
      <c r="H33" s="10">
        <v>7662.0914110189869</v>
      </c>
      <c r="I33" s="10">
        <f t="shared" si="4"/>
        <v>1271907.17</v>
      </c>
      <c r="J33" s="2">
        <f t="shared" si="0"/>
        <v>105992.26</v>
      </c>
      <c r="K33" s="3">
        <f t="shared" si="1"/>
        <v>-1059.92</v>
      </c>
      <c r="L33" s="3">
        <f t="shared" si="2"/>
        <v>-3179.77</v>
      </c>
      <c r="M33" s="3"/>
      <c r="N33" s="5">
        <f t="shared" si="3"/>
        <v>101752.56999999999</v>
      </c>
    </row>
    <row r="34" spans="1:15" ht="12.75" x14ac:dyDescent="0.2">
      <c r="A34" s="35" t="s">
        <v>166</v>
      </c>
      <c r="B34" s="13" t="s">
        <v>92</v>
      </c>
      <c r="C34" s="1" t="s">
        <v>24</v>
      </c>
      <c r="D34" s="22" t="s">
        <v>117</v>
      </c>
      <c r="E34" s="1" t="s">
        <v>197</v>
      </c>
      <c r="G34" s="36">
        <v>234.5</v>
      </c>
      <c r="H34" s="10">
        <v>7662.0914110189869</v>
      </c>
      <c r="I34" s="10">
        <f t="shared" si="4"/>
        <v>1796760.44</v>
      </c>
      <c r="J34" s="2">
        <f t="shared" si="0"/>
        <v>149730.04</v>
      </c>
      <c r="K34" s="3">
        <f t="shared" si="1"/>
        <v>-1497.3</v>
      </c>
      <c r="L34" s="3">
        <f t="shared" si="2"/>
        <v>-4491.8999999999996</v>
      </c>
      <c r="M34" s="3"/>
      <c r="N34" s="5">
        <f t="shared" si="3"/>
        <v>143740.84000000003</v>
      </c>
      <c r="O34" s="15"/>
    </row>
    <row r="35" spans="1:15" ht="12.75" x14ac:dyDescent="0.2">
      <c r="A35" s="35" t="s">
        <v>166</v>
      </c>
      <c r="B35" s="13" t="s">
        <v>92</v>
      </c>
      <c r="C35" s="1" t="s">
        <v>24</v>
      </c>
      <c r="D35" s="22" t="s">
        <v>64</v>
      </c>
      <c r="E35" s="1" t="s">
        <v>198</v>
      </c>
      <c r="G35" s="36">
        <v>1305</v>
      </c>
      <c r="H35" s="10">
        <v>7662.0914110189869</v>
      </c>
      <c r="I35" s="10">
        <f t="shared" si="4"/>
        <v>9999029.2899999991</v>
      </c>
      <c r="J35" s="2">
        <f t="shared" si="0"/>
        <v>833252.44</v>
      </c>
      <c r="K35" s="3">
        <f t="shared" si="1"/>
        <v>-8332.52</v>
      </c>
      <c r="L35" s="3">
        <f t="shared" si="2"/>
        <v>-24997.57</v>
      </c>
      <c r="M35" s="3">
        <v>-161415</v>
      </c>
      <c r="N35" s="5">
        <f t="shared" si="3"/>
        <v>638507.35</v>
      </c>
    </row>
    <row r="36" spans="1:15" ht="12.75" x14ac:dyDescent="0.2">
      <c r="A36" s="35" t="s">
        <v>166</v>
      </c>
      <c r="B36" s="13" t="s">
        <v>92</v>
      </c>
      <c r="C36" s="1" t="s">
        <v>24</v>
      </c>
      <c r="D36" s="22" t="s">
        <v>116</v>
      </c>
      <c r="E36" s="1" t="s">
        <v>199</v>
      </c>
      <c r="G36" s="36">
        <v>100</v>
      </c>
      <c r="H36" s="10">
        <v>7662.0914110189869</v>
      </c>
      <c r="I36" s="10">
        <f t="shared" si="4"/>
        <v>766209.14</v>
      </c>
      <c r="J36" s="2">
        <f t="shared" si="0"/>
        <v>63850.76</v>
      </c>
      <c r="K36" s="3">
        <f t="shared" si="1"/>
        <v>-638.51</v>
      </c>
      <c r="L36" s="3">
        <f t="shared" si="2"/>
        <v>-1915.52</v>
      </c>
      <c r="M36" s="3"/>
      <c r="N36" s="5">
        <f t="shared" si="3"/>
        <v>61296.73</v>
      </c>
    </row>
    <row r="37" spans="1:15" ht="12.75" x14ac:dyDescent="0.2">
      <c r="A37" s="35" t="s">
        <v>162</v>
      </c>
      <c r="B37" s="13" t="s">
        <v>93</v>
      </c>
      <c r="C37" s="5" t="s">
        <v>19</v>
      </c>
      <c r="D37" s="21" t="s">
        <v>59</v>
      </c>
      <c r="E37" s="5" t="s">
        <v>200</v>
      </c>
      <c r="G37" s="36">
        <v>300</v>
      </c>
      <c r="H37" s="10">
        <v>8343.713781491635</v>
      </c>
      <c r="I37" s="10">
        <f t="shared" si="4"/>
        <v>2503114.13</v>
      </c>
      <c r="J37" s="2">
        <f t="shared" si="0"/>
        <v>208592.84</v>
      </c>
      <c r="K37" s="3">
        <f t="shared" si="1"/>
        <v>-2085.9299999999998</v>
      </c>
      <c r="L37" s="3">
        <f t="shared" si="2"/>
        <v>-6257.79</v>
      </c>
      <c r="M37" s="3"/>
      <c r="N37" s="5">
        <f t="shared" si="3"/>
        <v>200249.12</v>
      </c>
    </row>
    <row r="38" spans="1:15" ht="12.75" x14ac:dyDescent="0.2">
      <c r="A38" s="35" t="s">
        <v>162</v>
      </c>
      <c r="B38" s="13" t="s">
        <v>93</v>
      </c>
      <c r="C38" s="7" t="s">
        <v>19</v>
      </c>
      <c r="D38" s="22" t="s">
        <v>60</v>
      </c>
      <c r="E38" s="7" t="s">
        <v>201</v>
      </c>
      <c r="G38" s="36">
        <v>363</v>
      </c>
      <c r="H38" s="10">
        <v>8343.713781491635</v>
      </c>
      <c r="I38" s="10">
        <f t="shared" si="4"/>
        <v>3028768.1</v>
      </c>
      <c r="J38" s="2">
        <f t="shared" si="0"/>
        <v>252397.34</v>
      </c>
      <c r="K38" s="3">
        <f t="shared" si="1"/>
        <v>-2523.9699999999998</v>
      </c>
      <c r="L38" s="3">
        <f t="shared" si="2"/>
        <v>-7571.92</v>
      </c>
      <c r="M38" s="3">
        <v>-42588.66</v>
      </c>
      <c r="N38" s="5">
        <f t="shared" si="3"/>
        <v>199712.78999999998</v>
      </c>
      <c r="O38" s="15"/>
    </row>
    <row r="39" spans="1:15" ht="12.75" x14ac:dyDescent="0.2">
      <c r="A39" s="35" t="s">
        <v>156</v>
      </c>
      <c r="B39" s="13" t="s">
        <v>94</v>
      </c>
      <c r="C39" s="5" t="s">
        <v>40</v>
      </c>
      <c r="D39" s="21" t="s">
        <v>82</v>
      </c>
      <c r="E39" s="5" t="s">
        <v>202</v>
      </c>
      <c r="G39" s="36">
        <v>86</v>
      </c>
      <c r="H39" s="10">
        <v>7939.791327137541</v>
      </c>
      <c r="I39" s="10">
        <f t="shared" si="4"/>
        <v>682822.05</v>
      </c>
      <c r="J39" s="2">
        <f t="shared" si="0"/>
        <v>56901.84</v>
      </c>
      <c r="K39" s="3">
        <f t="shared" si="1"/>
        <v>-569.02</v>
      </c>
      <c r="L39" s="3">
        <f t="shared" si="2"/>
        <v>-1707.06</v>
      </c>
      <c r="M39" s="3"/>
      <c r="N39" s="5">
        <f t="shared" si="3"/>
        <v>54625.760000000002</v>
      </c>
      <c r="O39" s="15"/>
    </row>
    <row r="40" spans="1:15" ht="12.75" x14ac:dyDescent="0.2">
      <c r="A40" s="35" t="s">
        <v>169</v>
      </c>
      <c r="B40" s="13" t="s">
        <v>95</v>
      </c>
      <c r="C40" s="5" t="s">
        <v>175</v>
      </c>
      <c r="D40" s="21" t="s">
        <v>74</v>
      </c>
      <c r="E40" s="5" t="s">
        <v>203</v>
      </c>
      <c r="G40" s="36">
        <v>133</v>
      </c>
      <c r="H40" s="10">
        <v>7996.3401805053491</v>
      </c>
      <c r="I40" s="10">
        <f t="shared" si="4"/>
        <v>1063513.24</v>
      </c>
      <c r="J40" s="2">
        <f t="shared" si="0"/>
        <v>88626.1</v>
      </c>
      <c r="K40" s="3">
        <f t="shared" si="1"/>
        <v>-886.26</v>
      </c>
      <c r="L40" s="3">
        <f t="shared" si="2"/>
        <v>-2658.78</v>
      </c>
      <c r="M40" s="3"/>
      <c r="N40" s="5">
        <f t="shared" si="3"/>
        <v>85081.060000000012</v>
      </c>
      <c r="O40" s="15"/>
    </row>
    <row r="41" spans="1:15" ht="12.75" x14ac:dyDescent="0.2">
      <c r="A41" s="35" t="s">
        <v>152</v>
      </c>
      <c r="B41" s="13" t="s">
        <v>86</v>
      </c>
      <c r="C41" s="5" t="s">
        <v>176</v>
      </c>
      <c r="D41" s="21" t="s">
        <v>67</v>
      </c>
      <c r="E41" s="5" t="s">
        <v>204</v>
      </c>
      <c r="G41" s="36">
        <v>470</v>
      </c>
      <c r="H41" s="10">
        <v>8563.2744493222235</v>
      </c>
      <c r="I41" s="10">
        <f t="shared" si="4"/>
        <v>4024738.99</v>
      </c>
      <c r="J41" s="2">
        <f t="shared" si="0"/>
        <v>335394.92</v>
      </c>
      <c r="K41" s="3">
        <f t="shared" si="1"/>
        <v>-3353.95</v>
      </c>
      <c r="L41" s="3">
        <f t="shared" si="2"/>
        <v>-10061.85</v>
      </c>
      <c r="M41" s="3">
        <v>-31012.75</v>
      </c>
      <c r="N41" s="5">
        <f t="shared" si="3"/>
        <v>290966.37</v>
      </c>
    </row>
    <row r="42" spans="1:15" x14ac:dyDescent="0.25">
      <c r="A42" s="35" t="s">
        <v>152</v>
      </c>
      <c r="B42" s="13" t="s">
        <v>86</v>
      </c>
      <c r="C42" s="6" t="s">
        <v>176</v>
      </c>
      <c r="D42" t="s">
        <v>47</v>
      </c>
      <c r="E42" s="6" t="s">
        <v>205</v>
      </c>
      <c r="G42" s="36">
        <v>310</v>
      </c>
      <c r="H42" s="10">
        <v>8563.2744493222235</v>
      </c>
      <c r="I42" s="10">
        <f t="shared" ref="I42:I43" si="5">ROUND(G42*H42,2)</f>
        <v>2654615.08</v>
      </c>
      <c r="J42" s="2">
        <f t="shared" ref="J42:J43" si="6">ROUND(I42/12,2)</f>
        <v>221217.92000000001</v>
      </c>
      <c r="K42" s="3">
        <f t="shared" ref="K42:K43" si="7">ROUND(I42*-0.01/12,2)</f>
        <v>-2212.1799999999998</v>
      </c>
      <c r="L42" s="3">
        <f t="shared" ref="L42:L43" si="8">ROUND(I42*-0.03/12,2)</f>
        <v>-6636.54</v>
      </c>
      <c r="M42" s="3">
        <v>-42888.53</v>
      </c>
      <c r="N42" s="5">
        <f t="shared" ref="N42:N43" si="9">J42+K42+L42+M42</f>
        <v>169480.67</v>
      </c>
    </row>
    <row r="43" spans="1:15" x14ac:dyDescent="0.25">
      <c r="A43" s="35" t="s">
        <v>152</v>
      </c>
      <c r="B43" s="13" t="s">
        <v>86</v>
      </c>
      <c r="C43" s="8" t="s">
        <v>176</v>
      </c>
      <c r="D43" t="s">
        <v>48</v>
      </c>
      <c r="E43" s="8" t="s">
        <v>206</v>
      </c>
      <c r="G43" s="36">
        <v>257.10000000000002</v>
      </c>
      <c r="H43" s="10">
        <v>8563.2744493222235</v>
      </c>
      <c r="I43" s="10">
        <f t="shared" si="5"/>
        <v>2201617.86</v>
      </c>
      <c r="J43" s="2">
        <f t="shared" si="6"/>
        <v>183468.16</v>
      </c>
      <c r="K43" s="3">
        <f t="shared" si="7"/>
        <v>-1834.68</v>
      </c>
      <c r="L43" s="3">
        <f t="shared" si="8"/>
        <v>-5504.04</v>
      </c>
      <c r="M43" s="3"/>
      <c r="N43" s="5">
        <f t="shared" si="9"/>
        <v>176129.44</v>
      </c>
    </row>
    <row r="44" spans="1:15" x14ac:dyDescent="0.25">
      <c r="G44" s="9"/>
      <c r="H44" s="6"/>
      <c r="I44" s="6"/>
      <c r="J44" s="6"/>
      <c r="K44" s="6"/>
      <c r="L44" s="6"/>
      <c r="M44" s="6"/>
      <c r="N44" s="6"/>
    </row>
    <row r="45" spans="1:15" x14ac:dyDescent="0.25">
      <c r="G45" s="16">
        <f>SUM(G4:G44)</f>
        <v>19037.5</v>
      </c>
      <c r="H45" s="8"/>
      <c r="I45" s="16">
        <f t="shared" ref="I45:N45" si="10">SUM(I4:I44)</f>
        <v>152169644.90000004</v>
      </c>
      <c r="J45" s="16">
        <f t="shared" si="10"/>
        <v>12680803.76</v>
      </c>
      <c r="K45" s="8">
        <f t="shared" si="10"/>
        <v>-126808.02999999996</v>
      </c>
      <c r="L45" s="8">
        <f t="shared" si="10"/>
        <v>-380424.13</v>
      </c>
      <c r="M45" s="8">
        <f t="shared" si="10"/>
        <v>-1439211.6</v>
      </c>
      <c r="N45" s="16">
        <f t="shared" si="10"/>
        <v>10734359.999999996</v>
      </c>
    </row>
    <row r="46" spans="1:15" x14ac:dyDescent="0.25">
      <c r="J46" s="16"/>
      <c r="L46" s="8">
        <f>K45+L45</f>
        <v>-507232.16</v>
      </c>
    </row>
    <row r="49" spans="1:14" ht="12.75" x14ac:dyDescent="0.2">
      <c r="A49" s="17" t="s">
        <v>170</v>
      </c>
      <c r="B49" s="17"/>
      <c r="C49" s="11"/>
      <c r="D49" s="11"/>
      <c r="E49" s="17"/>
      <c r="F49" s="19"/>
      <c r="G49" s="19"/>
      <c r="H49" s="19"/>
      <c r="I49" s="19"/>
      <c r="J49" s="19"/>
      <c r="K49" s="19"/>
      <c r="L49" s="19"/>
      <c r="M49" s="19"/>
      <c r="N49" s="19"/>
    </row>
    <row r="50" spans="1:14" ht="63.75" x14ac:dyDescent="0.2">
      <c r="A50" s="20" t="s">
        <v>207</v>
      </c>
      <c r="B50" s="20"/>
      <c r="C50" s="11"/>
      <c r="D50" s="11" t="s">
        <v>38</v>
      </c>
      <c r="E50" s="17" t="s">
        <v>39</v>
      </c>
      <c r="F50" s="12"/>
      <c r="G50" s="23" t="s">
        <v>0</v>
      </c>
      <c r="H50" s="23" t="s">
        <v>1</v>
      </c>
      <c r="I50" s="23" t="s">
        <v>2</v>
      </c>
      <c r="J50" s="23" t="s">
        <v>3</v>
      </c>
      <c r="K50" s="23" t="s">
        <v>4</v>
      </c>
      <c r="L50" s="23" t="s">
        <v>5</v>
      </c>
      <c r="M50" s="23" t="s">
        <v>28</v>
      </c>
      <c r="N50" s="23" t="s">
        <v>6</v>
      </c>
    </row>
    <row r="51" spans="1:14" x14ac:dyDescent="0.25">
      <c r="C51" s="6"/>
      <c r="E51" s="6"/>
      <c r="F51" s="6"/>
      <c r="G51" s="14"/>
      <c r="H51" s="10"/>
      <c r="I51" s="10"/>
      <c r="J51" s="10"/>
      <c r="K51" s="10"/>
      <c r="L51" s="10"/>
      <c r="M51" s="10"/>
      <c r="N51" s="5"/>
    </row>
    <row r="52" spans="1:14" ht="12.75" x14ac:dyDescent="0.2">
      <c r="A52" s="35" t="s">
        <v>142</v>
      </c>
      <c r="B52" s="13" t="s">
        <v>86</v>
      </c>
      <c r="C52" s="1" t="s">
        <v>172</v>
      </c>
      <c r="D52" s="21" t="s">
        <v>44</v>
      </c>
      <c r="E52" s="1" t="s">
        <v>177</v>
      </c>
      <c r="G52" s="36">
        <v>1839</v>
      </c>
      <c r="H52" s="10">
        <v>7890.8685587645041</v>
      </c>
      <c r="I52" s="10">
        <f>ROUND(G52*H52,2)</f>
        <v>14511307.279999999</v>
      </c>
      <c r="J52" s="2">
        <f t="shared" ref="J52:J91" si="11">ROUND(I52/12,2)</f>
        <v>1209275.6100000001</v>
      </c>
      <c r="K52" s="3">
        <f t="shared" ref="K52:K91" si="12">ROUND(I52*-0.01/12,2)</f>
        <v>-12092.76</v>
      </c>
      <c r="L52" s="3">
        <f t="shared" ref="L52:L91" si="13">ROUND(I52*-0.03/12,2)</f>
        <v>-36278.269999999997</v>
      </c>
      <c r="M52" s="3">
        <v>-95728.75</v>
      </c>
      <c r="N52" s="5">
        <f t="shared" ref="N52:N91" si="14">J52+K52+L52+M52</f>
        <v>1065175.83</v>
      </c>
    </row>
    <row r="53" spans="1:14" ht="12.75" x14ac:dyDescent="0.2">
      <c r="A53" s="35" t="s">
        <v>142</v>
      </c>
      <c r="B53" s="13" t="s">
        <v>86</v>
      </c>
      <c r="C53" s="5" t="s">
        <v>172</v>
      </c>
      <c r="D53" s="21" t="s">
        <v>68</v>
      </c>
      <c r="E53" s="5" t="s">
        <v>178</v>
      </c>
      <c r="G53" s="36">
        <v>845</v>
      </c>
      <c r="H53" s="10">
        <v>7890.8685587645041</v>
      </c>
      <c r="I53" s="10">
        <f t="shared" ref="I53:I91" si="15">ROUND(G53*H53,2)</f>
        <v>6667783.9299999997</v>
      </c>
      <c r="J53" s="2">
        <f t="shared" si="11"/>
        <v>555648.66</v>
      </c>
      <c r="K53" s="3">
        <f t="shared" si="12"/>
        <v>-5556.49</v>
      </c>
      <c r="L53" s="3">
        <f t="shared" si="13"/>
        <v>-16669.46</v>
      </c>
      <c r="M53" s="3">
        <v>-32574.17</v>
      </c>
      <c r="N53" s="5">
        <f t="shared" si="14"/>
        <v>500848.5400000001</v>
      </c>
    </row>
    <row r="54" spans="1:14" ht="12.75" x14ac:dyDescent="0.2">
      <c r="A54" s="35" t="s">
        <v>142</v>
      </c>
      <c r="B54" s="13" t="s">
        <v>86</v>
      </c>
      <c r="C54" s="1" t="s">
        <v>172</v>
      </c>
      <c r="D54" s="22" t="s">
        <v>146</v>
      </c>
      <c r="E54" s="1" t="s">
        <v>179</v>
      </c>
      <c r="G54" s="36">
        <v>2001</v>
      </c>
      <c r="H54" s="10">
        <v>7890.8685587645041</v>
      </c>
      <c r="I54" s="10">
        <f t="shared" si="15"/>
        <v>15789627.99</v>
      </c>
      <c r="J54" s="2">
        <f t="shared" si="11"/>
        <v>1315802.33</v>
      </c>
      <c r="K54" s="3">
        <f t="shared" si="12"/>
        <v>-13158.02</v>
      </c>
      <c r="L54" s="3">
        <f t="shared" si="13"/>
        <v>-39474.07</v>
      </c>
      <c r="M54" s="3">
        <v>-187836.67</v>
      </c>
      <c r="N54" s="5">
        <f t="shared" si="14"/>
        <v>1075333.57</v>
      </c>
    </row>
    <row r="55" spans="1:14" ht="12.75" x14ac:dyDescent="0.2">
      <c r="A55" s="35" t="s">
        <v>153</v>
      </c>
      <c r="B55" s="13" t="s">
        <v>89</v>
      </c>
      <c r="C55" s="5" t="s">
        <v>29</v>
      </c>
      <c r="D55" s="21" t="s">
        <v>80</v>
      </c>
      <c r="E55" s="5" t="s">
        <v>180</v>
      </c>
      <c r="G55" s="36">
        <v>375</v>
      </c>
      <c r="H55" s="10">
        <v>8714.1967120380505</v>
      </c>
      <c r="I55" s="10">
        <f t="shared" si="15"/>
        <v>3267823.77</v>
      </c>
      <c r="J55" s="2">
        <f t="shared" si="11"/>
        <v>272318.65000000002</v>
      </c>
      <c r="K55" s="3">
        <f t="shared" si="12"/>
        <v>-2723.19</v>
      </c>
      <c r="L55" s="3">
        <f t="shared" si="13"/>
        <v>-8169.56</v>
      </c>
      <c r="M55" s="3">
        <v>-98004.89</v>
      </c>
      <c r="N55" s="5">
        <f t="shared" si="14"/>
        <v>163421.01</v>
      </c>
    </row>
    <row r="56" spans="1:14" ht="12.75" x14ac:dyDescent="0.2">
      <c r="A56" s="35" t="s">
        <v>153</v>
      </c>
      <c r="B56" s="13" t="s">
        <v>89</v>
      </c>
      <c r="C56" s="5" t="s">
        <v>29</v>
      </c>
      <c r="D56" s="21" t="s">
        <v>49</v>
      </c>
      <c r="E56" s="5" t="s">
        <v>181</v>
      </c>
      <c r="G56" s="36">
        <v>322</v>
      </c>
      <c r="H56" s="10">
        <v>8714.1967120380505</v>
      </c>
      <c r="I56" s="10">
        <f t="shared" si="15"/>
        <v>2805971.34</v>
      </c>
      <c r="J56" s="2">
        <f t="shared" si="11"/>
        <v>233830.95</v>
      </c>
      <c r="K56" s="3">
        <f t="shared" si="12"/>
        <v>-2338.31</v>
      </c>
      <c r="L56" s="3">
        <f t="shared" si="13"/>
        <v>-7014.93</v>
      </c>
      <c r="M56" s="3"/>
      <c r="N56" s="5">
        <f t="shared" si="14"/>
        <v>224477.71000000002</v>
      </c>
    </row>
    <row r="57" spans="1:14" ht="12.75" x14ac:dyDescent="0.2">
      <c r="A57" s="34" t="s">
        <v>153</v>
      </c>
      <c r="B57" s="13" t="s">
        <v>89</v>
      </c>
      <c r="C57" s="5" t="s">
        <v>29</v>
      </c>
      <c r="D57" s="21" t="s">
        <v>50</v>
      </c>
      <c r="E57" s="5" t="s">
        <v>182</v>
      </c>
      <c r="F57" s="15"/>
      <c r="G57" s="36">
        <v>270.10000000000002</v>
      </c>
      <c r="H57" s="10">
        <v>8714.1967120380505</v>
      </c>
      <c r="I57" s="10">
        <f t="shared" si="15"/>
        <v>2353704.5299999998</v>
      </c>
      <c r="J57" s="2">
        <f t="shared" si="11"/>
        <v>196142.04</v>
      </c>
      <c r="K57" s="3">
        <f t="shared" si="12"/>
        <v>-1961.42</v>
      </c>
      <c r="L57" s="3">
        <f t="shared" si="13"/>
        <v>-5884.26</v>
      </c>
      <c r="M57" s="3"/>
      <c r="N57" s="5">
        <f t="shared" si="14"/>
        <v>188296.36</v>
      </c>
    </row>
    <row r="58" spans="1:14" ht="12.75" x14ac:dyDescent="0.2">
      <c r="A58" s="34" t="s">
        <v>153</v>
      </c>
      <c r="B58" s="13" t="s">
        <v>89</v>
      </c>
      <c r="C58" s="5" t="s">
        <v>29</v>
      </c>
      <c r="D58" s="21" t="s">
        <v>97</v>
      </c>
      <c r="E58" s="5" t="s">
        <v>183</v>
      </c>
      <c r="F58" s="15"/>
      <c r="G58" s="36">
        <v>101</v>
      </c>
      <c r="H58" s="10">
        <v>8714.1967120380505</v>
      </c>
      <c r="I58" s="10">
        <f t="shared" si="15"/>
        <v>880133.87</v>
      </c>
      <c r="J58" s="2">
        <f t="shared" si="11"/>
        <v>73344.490000000005</v>
      </c>
      <c r="K58" s="3">
        <f t="shared" si="12"/>
        <v>-733.44</v>
      </c>
      <c r="L58" s="3">
        <f t="shared" si="13"/>
        <v>-2200.33</v>
      </c>
      <c r="M58" s="3"/>
      <c r="N58" s="5">
        <f t="shared" si="14"/>
        <v>70410.720000000001</v>
      </c>
    </row>
    <row r="59" spans="1:14" ht="12.75" x14ac:dyDescent="0.2">
      <c r="A59" s="34" t="s">
        <v>151</v>
      </c>
      <c r="B59" s="13" t="s">
        <v>86</v>
      </c>
      <c r="C59" s="1" t="s">
        <v>85</v>
      </c>
      <c r="D59" s="22" t="s">
        <v>46</v>
      </c>
      <c r="E59" s="4" t="s">
        <v>184</v>
      </c>
      <c r="F59" s="15"/>
      <c r="G59" s="36">
        <v>685</v>
      </c>
      <c r="H59" s="10">
        <v>7792.632667540046</v>
      </c>
      <c r="I59" s="10">
        <f t="shared" si="15"/>
        <v>5337953.38</v>
      </c>
      <c r="J59" s="2">
        <f t="shared" si="11"/>
        <v>444829.45</v>
      </c>
      <c r="K59" s="3">
        <f t="shared" si="12"/>
        <v>-4448.29</v>
      </c>
      <c r="L59" s="3">
        <f t="shared" si="13"/>
        <v>-13344.88</v>
      </c>
      <c r="M59" s="3">
        <v>-68529.38</v>
      </c>
      <c r="N59" s="5">
        <f t="shared" si="14"/>
        <v>358506.9</v>
      </c>
    </row>
    <row r="60" spans="1:14" ht="12.75" x14ac:dyDescent="0.2">
      <c r="A60" s="34" t="s">
        <v>147</v>
      </c>
      <c r="B60" s="13" t="s">
        <v>86</v>
      </c>
      <c r="C60" s="5" t="s">
        <v>8</v>
      </c>
      <c r="D60" s="21" t="s">
        <v>45</v>
      </c>
      <c r="E60" s="18" t="s">
        <v>185</v>
      </c>
      <c r="F60" s="15"/>
      <c r="G60" s="36">
        <v>750</v>
      </c>
      <c r="H60" s="10">
        <v>8566.0669376956666</v>
      </c>
      <c r="I60" s="10">
        <f t="shared" si="15"/>
        <v>6424550.2000000002</v>
      </c>
      <c r="J60" s="2">
        <f t="shared" si="11"/>
        <v>535379.18000000005</v>
      </c>
      <c r="K60" s="3">
        <f t="shared" si="12"/>
        <v>-5353.79</v>
      </c>
      <c r="L60" s="3">
        <f t="shared" si="13"/>
        <v>-16061.38</v>
      </c>
      <c r="M60" s="3">
        <v>-159448.34</v>
      </c>
      <c r="N60" s="5">
        <f t="shared" si="14"/>
        <v>354515.67000000004</v>
      </c>
    </row>
    <row r="61" spans="1:14" ht="12.75" x14ac:dyDescent="0.2">
      <c r="A61" s="34" t="s">
        <v>161</v>
      </c>
      <c r="B61" s="15" t="s">
        <v>90</v>
      </c>
      <c r="C61" s="5" t="s">
        <v>15</v>
      </c>
      <c r="D61" s="21" t="s">
        <v>55</v>
      </c>
      <c r="E61" s="5" t="s">
        <v>186</v>
      </c>
      <c r="F61" s="15"/>
      <c r="G61" s="36">
        <v>550</v>
      </c>
      <c r="H61" s="10">
        <v>7977.364453823483</v>
      </c>
      <c r="I61" s="10">
        <f t="shared" si="15"/>
        <v>4387550.45</v>
      </c>
      <c r="J61" s="2">
        <f t="shared" si="11"/>
        <v>365629.2</v>
      </c>
      <c r="K61" s="3">
        <f t="shared" si="12"/>
        <v>-3656.29</v>
      </c>
      <c r="L61" s="3">
        <f t="shared" si="13"/>
        <v>-10968.88</v>
      </c>
      <c r="M61" s="3">
        <v>-146415.41999999998</v>
      </c>
      <c r="N61" s="5">
        <f t="shared" si="14"/>
        <v>204588.61000000004</v>
      </c>
    </row>
    <row r="62" spans="1:14" ht="12.75" x14ac:dyDescent="0.2">
      <c r="A62" s="34" t="s">
        <v>161</v>
      </c>
      <c r="B62" s="15" t="s">
        <v>90</v>
      </c>
      <c r="C62" s="5" t="s">
        <v>15</v>
      </c>
      <c r="D62" s="21" t="s">
        <v>56</v>
      </c>
      <c r="E62" s="5" t="s">
        <v>187</v>
      </c>
      <c r="F62" s="15"/>
      <c r="G62" s="36">
        <v>239</v>
      </c>
      <c r="H62" s="10">
        <v>7977.364453823483</v>
      </c>
      <c r="I62" s="10">
        <f t="shared" si="15"/>
        <v>1906590.1</v>
      </c>
      <c r="J62" s="2">
        <f t="shared" si="11"/>
        <v>158882.51</v>
      </c>
      <c r="K62" s="3">
        <f t="shared" si="12"/>
        <v>-1588.83</v>
      </c>
      <c r="L62" s="3">
        <f t="shared" si="13"/>
        <v>-4766.4799999999996</v>
      </c>
      <c r="M62" s="3"/>
      <c r="N62" s="5">
        <f t="shared" si="14"/>
        <v>152527.20000000001</v>
      </c>
    </row>
    <row r="63" spans="1:14" ht="12.75" x14ac:dyDescent="0.2">
      <c r="A63" s="34" t="s">
        <v>161</v>
      </c>
      <c r="B63" s="15" t="s">
        <v>90</v>
      </c>
      <c r="C63" s="1" t="s">
        <v>15</v>
      </c>
      <c r="D63" s="22" t="s">
        <v>79</v>
      </c>
      <c r="E63" s="1" t="s">
        <v>77</v>
      </c>
      <c r="F63" s="15"/>
      <c r="G63" s="36">
        <v>590</v>
      </c>
      <c r="H63" s="10">
        <v>7977.364453823483</v>
      </c>
      <c r="I63" s="10">
        <f t="shared" si="15"/>
        <v>4706645.03</v>
      </c>
      <c r="J63" s="2">
        <f t="shared" si="11"/>
        <v>392220.42</v>
      </c>
      <c r="K63" s="3">
        <f t="shared" si="12"/>
        <v>-3922.2</v>
      </c>
      <c r="L63" s="3">
        <f t="shared" si="13"/>
        <v>-11766.61</v>
      </c>
      <c r="M63" s="3"/>
      <c r="N63" s="5">
        <f t="shared" si="14"/>
        <v>376531.61</v>
      </c>
    </row>
    <row r="64" spans="1:14" ht="12.75" x14ac:dyDescent="0.2">
      <c r="A64" s="34" t="s">
        <v>161</v>
      </c>
      <c r="B64" s="15" t="s">
        <v>90</v>
      </c>
      <c r="C64" s="1" t="s">
        <v>15</v>
      </c>
      <c r="D64" s="22" t="s">
        <v>54</v>
      </c>
      <c r="E64" s="1" t="s">
        <v>17</v>
      </c>
      <c r="F64" s="15"/>
      <c r="G64" s="36">
        <v>404</v>
      </c>
      <c r="H64" s="10">
        <v>7977.364453823483</v>
      </c>
      <c r="I64" s="10">
        <f t="shared" si="15"/>
        <v>3222855.24</v>
      </c>
      <c r="J64" s="2">
        <f t="shared" si="11"/>
        <v>268571.27</v>
      </c>
      <c r="K64" s="3">
        <f t="shared" si="12"/>
        <v>-2685.71</v>
      </c>
      <c r="L64" s="3">
        <f t="shared" si="13"/>
        <v>-8057.14</v>
      </c>
      <c r="M64" s="3">
        <v>-42500</v>
      </c>
      <c r="N64" s="5">
        <f t="shared" si="14"/>
        <v>215328.41999999998</v>
      </c>
    </row>
    <row r="65" spans="1:14" ht="12.75" x14ac:dyDescent="0.2">
      <c r="A65" s="34" t="s">
        <v>161</v>
      </c>
      <c r="B65" s="15" t="s">
        <v>90</v>
      </c>
      <c r="C65" s="1" t="s">
        <v>15</v>
      </c>
      <c r="D65" s="22" t="s">
        <v>114</v>
      </c>
      <c r="E65" s="1" t="s">
        <v>124</v>
      </c>
      <c r="F65" s="15"/>
      <c r="G65" s="36">
        <v>192</v>
      </c>
      <c r="H65" s="10">
        <v>7977.364453823483</v>
      </c>
      <c r="I65" s="10">
        <f t="shared" si="15"/>
        <v>1531653.98</v>
      </c>
      <c r="J65" s="2">
        <f t="shared" si="11"/>
        <v>127637.83</v>
      </c>
      <c r="K65" s="3">
        <f t="shared" si="12"/>
        <v>-1276.3800000000001</v>
      </c>
      <c r="L65" s="3">
        <f t="shared" si="13"/>
        <v>-3829.13</v>
      </c>
      <c r="M65" s="3"/>
      <c r="N65" s="5">
        <f t="shared" si="14"/>
        <v>122532.31999999999</v>
      </c>
    </row>
    <row r="66" spans="1:14" ht="12.75" x14ac:dyDescent="0.2">
      <c r="A66" s="34" t="s">
        <v>161</v>
      </c>
      <c r="B66" s="15" t="s">
        <v>90</v>
      </c>
      <c r="C66" s="1" t="s">
        <v>15</v>
      </c>
      <c r="D66" s="22" t="s">
        <v>118</v>
      </c>
      <c r="E66" s="4" t="s">
        <v>119</v>
      </c>
      <c r="G66" s="36">
        <v>263</v>
      </c>
      <c r="H66" s="10">
        <v>7977.364453823483</v>
      </c>
      <c r="I66" s="10">
        <f t="shared" si="15"/>
        <v>2098046.85</v>
      </c>
      <c r="J66" s="2">
        <f t="shared" si="11"/>
        <v>174837.24</v>
      </c>
      <c r="K66" s="3">
        <f t="shared" si="12"/>
        <v>-1748.37</v>
      </c>
      <c r="L66" s="3">
        <f t="shared" si="13"/>
        <v>-5245.12</v>
      </c>
      <c r="M66" s="3"/>
      <c r="N66" s="5">
        <f t="shared" si="14"/>
        <v>167843.75</v>
      </c>
    </row>
    <row r="67" spans="1:14" ht="12.75" x14ac:dyDescent="0.2">
      <c r="A67" s="34" t="s">
        <v>161</v>
      </c>
      <c r="B67" s="15" t="s">
        <v>90</v>
      </c>
      <c r="C67" s="1" t="s">
        <v>15</v>
      </c>
      <c r="D67" s="22" t="s">
        <v>58</v>
      </c>
      <c r="E67" s="1" t="s">
        <v>188</v>
      </c>
      <c r="G67" s="36">
        <v>324</v>
      </c>
      <c r="H67" s="10">
        <v>7977.364453823483</v>
      </c>
      <c r="I67" s="10">
        <f t="shared" si="15"/>
        <v>2584666.08</v>
      </c>
      <c r="J67" s="2">
        <f t="shared" si="11"/>
        <v>215388.84</v>
      </c>
      <c r="K67" s="3">
        <f t="shared" si="12"/>
        <v>-2153.89</v>
      </c>
      <c r="L67" s="3">
        <f t="shared" si="13"/>
        <v>-6461.67</v>
      </c>
      <c r="M67" s="3">
        <v>-17523.8</v>
      </c>
      <c r="N67" s="5">
        <f t="shared" si="14"/>
        <v>189249.47999999998</v>
      </c>
    </row>
    <row r="68" spans="1:14" ht="12.75" x14ac:dyDescent="0.2">
      <c r="A68" s="34" t="s">
        <v>161</v>
      </c>
      <c r="B68" s="15" t="s">
        <v>90</v>
      </c>
      <c r="C68" s="1" t="s">
        <v>15</v>
      </c>
      <c r="D68" s="22" t="s">
        <v>71</v>
      </c>
      <c r="E68" s="4" t="s">
        <v>70</v>
      </c>
      <c r="G68" s="36">
        <v>70</v>
      </c>
      <c r="H68" s="10">
        <v>7977.364453823483</v>
      </c>
      <c r="I68" s="10">
        <f t="shared" si="15"/>
        <v>558415.51</v>
      </c>
      <c r="J68" s="2">
        <f t="shared" si="11"/>
        <v>46534.63</v>
      </c>
      <c r="K68" s="3">
        <f t="shared" si="12"/>
        <v>-465.35</v>
      </c>
      <c r="L68" s="3">
        <f t="shared" si="13"/>
        <v>-1396.04</v>
      </c>
      <c r="M68" s="3"/>
      <c r="N68" s="5">
        <f t="shared" si="14"/>
        <v>44673.24</v>
      </c>
    </row>
    <row r="69" spans="1:14" ht="12.75" x14ac:dyDescent="0.2">
      <c r="A69" s="34" t="s">
        <v>161</v>
      </c>
      <c r="B69" s="15" t="s">
        <v>90</v>
      </c>
      <c r="C69" s="7" t="s">
        <v>15</v>
      </c>
      <c r="D69" s="21" t="s">
        <v>57</v>
      </c>
      <c r="E69" s="7" t="s">
        <v>32</v>
      </c>
      <c r="G69" s="36">
        <v>327.62</v>
      </c>
      <c r="H69" s="10">
        <v>7977.364453823483</v>
      </c>
      <c r="I69" s="10">
        <f t="shared" si="15"/>
        <v>2613544.14</v>
      </c>
      <c r="J69" s="2">
        <f t="shared" si="11"/>
        <v>217795.35</v>
      </c>
      <c r="K69" s="3">
        <f t="shared" si="12"/>
        <v>-2177.9499999999998</v>
      </c>
      <c r="L69" s="3">
        <f t="shared" si="13"/>
        <v>-6533.86</v>
      </c>
      <c r="M69" s="3"/>
      <c r="N69" s="5">
        <f t="shared" si="14"/>
        <v>209083.54</v>
      </c>
    </row>
    <row r="70" spans="1:14" ht="12.75" x14ac:dyDescent="0.2">
      <c r="A70" s="34" t="s">
        <v>161</v>
      </c>
      <c r="B70" s="15" t="s">
        <v>90</v>
      </c>
      <c r="C70" s="1" t="s">
        <v>15</v>
      </c>
      <c r="D70" s="21" t="s">
        <v>53</v>
      </c>
      <c r="E70" s="1" t="s">
        <v>189</v>
      </c>
      <c r="G70" s="36">
        <v>907</v>
      </c>
      <c r="H70" s="10">
        <v>7977.364453823483</v>
      </c>
      <c r="I70" s="10">
        <f t="shared" si="15"/>
        <v>7235469.5599999996</v>
      </c>
      <c r="J70" s="2">
        <f t="shared" si="11"/>
        <v>602955.80000000005</v>
      </c>
      <c r="K70" s="3">
        <f t="shared" si="12"/>
        <v>-6029.56</v>
      </c>
      <c r="L70" s="3">
        <f t="shared" si="13"/>
        <v>-18088.669999999998</v>
      </c>
      <c r="M70" s="3">
        <v>-63255.26</v>
      </c>
      <c r="N70" s="5">
        <f t="shared" si="14"/>
        <v>515582.30999999994</v>
      </c>
    </row>
    <row r="71" spans="1:14" ht="12.75" x14ac:dyDescent="0.2">
      <c r="A71" s="35" t="s">
        <v>157</v>
      </c>
      <c r="B71" s="13" t="s">
        <v>87</v>
      </c>
      <c r="C71" s="5" t="s">
        <v>87</v>
      </c>
      <c r="D71" s="21" t="s">
        <v>173</v>
      </c>
      <c r="E71" s="5" t="s">
        <v>190</v>
      </c>
      <c r="G71" s="36">
        <v>633.79999999999995</v>
      </c>
      <c r="H71" s="10">
        <v>7760.0841571334395</v>
      </c>
      <c r="I71" s="10">
        <f t="shared" si="15"/>
        <v>4918341.34</v>
      </c>
      <c r="J71" s="2">
        <f t="shared" si="11"/>
        <v>409861.78</v>
      </c>
      <c r="K71" s="3">
        <f t="shared" si="12"/>
        <v>-4098.62</v>
      </c>
      <c r="L71" s="3">
        <f t="shared" si="13"/>
        <v>-12295.85</v>
      </c>
      <c r="M71" s="3"/>
      <c r="N71" s="5">
        <f t="shared" si="14"/>
        <v>393467.31000000006</v>
      </c>
    </row>
    <row r="72" spans="1:14" ht="12.75" x14ac:dyDescent="0.2">
      <c r="A72" s="35" t="s">
        <v>157</v>
      </c>
      <c r="B72" s="13" t="s">
        <v>87</v>
      </c>
      <c r="C72" s="1" t="s">
        <v>87</v>
      </c>
      <c r="D72" s="22" t="s">
        <v>51</v>
      </c>
      <c r="E72" s="1" t="s">
        <v>191</v>
      </c>
      <c r="G72" s="36">
        <v>840</v>
      </c>
      <c r="H72" s="10">
        <v>7760.0841571334395</v>
      </c>
      <c r="I72" s="10">
        <f t="shared" si="15"/>
        <v>6518470.6900000004</v>
      </c>
      <c r="J72" s="2">
        <f t="shared" si="11"/>
        <v>543205.89</v>
      </c>
      <c r="K72" s="3">
        <f t="shared" si="12"/>
        <v>-5432.06</v>
      </c>
      <c r="L72" s="3">
        <f t="shared" si="13"/>
        <v>-16296.18</v>
      </c>
      <c r="M72" s="3">
        <v>-73961.25</v>
      </c>
      <c r="N72" s="5">
        <f t="shared" si="14"/>
        <v>447516.39999999997</v>
      </c>
    </row>
    <row r="73" spans="1:14" ht="12.75" x14ac:dyDescent="0.2">
      <c r="A73" s="35" t="s">
        <v>165</v>
      </c>
      <c r="B73" s="13" t="s">
        <v>91</v>
      </c>
      <c r="C73" s="7" t="s">
        <v>21</v>
      </c>
      <c r="D73" s="22" t="s">
        <v>61</v>
      </c>
      <c r="E73" s="7" t="s">
        <v>192</v>
      </c>
      <c r="G73" s="36">
        <v>192</v>
      </c>
      <c r="H73" s="10">
        <v>8011.8374864182242</v>
      </c>
      <c r="I73" s="10">
        <f t="shared" si="15"/>
        <v>1538272.8</v>
      </c>
      <c r="J73" s="2">
        <f t="shared" si="11"/>
        <v>128189.4</v>
      </c>
      <c r="K73" s="3">
        <f t="shared" si="12"/>
        <v>-1281.8900000000001</v>
      </c>
      <c r="L73" s="3">
        <f t="shared" si="13"/>
        <v>-3845.68</v>
      </c>
      <c r="M73" s="3"/>
      <c r="N73" s="5">
        <f t="shared" si="14"/>
        <v>123061.83</v>
      </c>
    </row>
    <row r="74" spans="1:14" ht="12.75" x14ac:dyDescent="0.2">
      <c r="A74" s="35" t="s">
        <v>165</v>
      </c>
      <c r="B74" s="13" t="s">
        <v>91</v>
      </c>
      <c r="C74" s="5" t="s">
        <v>21</v>
      </c>
      <c r="D74" s="21" t="s">
        <v>62</v>
      </c>
      <c r="E74" s="5" t="s">
        <v>23</v>
      </c>
      <c r="G74" s="36">
        <v>242.5</v>
      </c>
      <c r="H74" s="10">
        <v>8011.8374864182242</v>
      </c>
      <c r="I74" s="10">
        <f t="shared" si="15"/>
        <v>1942870.59</v>
      </c>
      <c r="J74" s="2">
        <f t="shared" si="11"/>
        <v>161905.88</v>
      </c>
      <c r="K74" s="3">
        <f t="shared" si="12"/>
        <v>-1619.06</v>
      </c>
      <c r="L74" s="3">
        <f t="shared" si="13"/>
        <v>-4857.18</v>
      </c>
      <c r="M74" s="3"/>
      <c r="N74" s="5">
        <f t="shared" si="14"/>
        <v>155429.64000000001</v>
      </c>
    </row>
    <row r="75" spans="1:14" ht="12.75" x14ac:dyDescent="0.2">
      <c r="A75" s="35" t="s">
        <v>158</v>
      </c>
      <c r="B75" s="13" t="s">
        <v>13</v>
      </c>
      <c r="C75" s="5" t="s">
        <v>13</v>
      </c>
      <c r="D75" s="21" t="s">
        <v>52</v>
      </c>
      <c r="E75" s="5" t="s">
        <v>193</v>
      </c>
      <c r="G75" s="36">
        <v>315</v>
      </c>
      <c r="H75" s="10">
        <v>8335.6055726040868</v>
      </c>
      <c r="I75" s="10">
        <f t="shared" si="15"/>
        <v>2625715.7599999998</v>
      </c>
      <c r="J75" s="2">
        <f t="shared" si="11"/>
        <v>218809.65</v>
      </c>
      <c r="K75" s="3">
        <f t="shared" si="12"/>
        <v>-2188.1</v>
      </c>
      <c r="L75" s="3">
        <f t="shared" si="13"/>
        <v>-6564.29</v>
      </c>
      <c r="M75" s="3"/>
      <c r="N75" s="5">
        <f t="shared" si="14"/>
        <v>210057.25999999998</v>
      </c>
    </row>
    <row r="76" spans="1:14" ht="12.75" x14ac:dyDescent="0.2">
      <c r="A76" s="35" t="s">
        <v>164</v>
      </c>
      <c r="B76" s="13" t="s">
        <v>84</v>
      </c>
      <c r="C76" s="1" t="s">
        <v>84</v>
      </c>
      <c r="D76" s="22" t="s">
        <v>96</v>
      </c>
      <c r="E76" s="1" t="s">
        <v>83</v>
      </c>
      <c r="G76" s="36">
        <v>689.64</v>
      </c>
      <c r="H76" s="10">
        <v>7890.111859375209</v>
      </c>
      <c r="I76" s="10">
        <f t="shared" si="15"/>
        <v>5441336.7400000002</v>
      </c>
      <c r="J76" s="2">
        <f t="shared" si="11"/>
        <v>453444.73</v>
      </c>
      <c r="K76" s="3">
        <f t="shared" si="12"/>
        <v>-4534.45</v>
      </c>
      <c r="L76" s="3">
        <f t="shared" si="13"/>
        <v>-13603.34</v>
      </c>
      <c r="M76" s="3">
        <v>-52789.46</v>
      </c>
      <c r="N76" s="5">
        <f t="shared" si="14"/>
        <v>382517.47999999992</v>
      </c>
    </row>
    <row r="77" spans="1:14" ht="12.75" x14ac:dyDescent="0.2">
      <c r="A77" s="35" t="s">
        <v>168</v>
      </c>
      <c r="B77" s="13" t="s">
        <v>88</v>
      </c>
      <c r="C77" s="1" t="s">
        <v>25</v>
      </c>
      <c r="D77" s="22" t="s">
        <v>65</v>
      </c>
      <c r="E77" s="1" t="s">
        <v>26</v>
      </c>
      <c r="G77" s="36">
        <v>864</v>
      </c>
      <c r="H77" s="10">
        <v>7661.9794243650758</v>
      </c>
      <c r="I77" s="10">
        <f t="shared" si="15"/>
        <v>6619950.2199999997</v>
      </c>
      <c r="J77" s="2">
        <f t="shared" si="11"/>
        <v>551662.52</v>
      </c>
      <c r="K77" s="3">
        <f t="shared" si="12"/>
        <v>-5516.63</v>
      </c>
      <c r="L77" s="3">
        <f t="shared" si="13"/>
        <v>-16549.88</v>
      </c>
      <c r="M77" s="3">
        <v>-111343.34</v>
      </c>
      <c r="N77" s="5">
        <f t="shared" si="14"/>
        <v>418252.67000000004</v>
      </c>
    </row>
    <row r="78" spans="1:14" ht="12.75" x14ac:dyDescent="0.2">
      <c r="A78" s="35" t="s">
        <v>168</v>
      </c>
      <c r="B78" s="13" t="s">
        <v>88</v>
      </c>
      <c r="C78" s="1" t="s">
        <v>25</v>
      </c>
      <c r="D78" s="22" t="s">
        <v>81</v>
      </c>
      <c r="E78" s="1" t="s">
        <v>194</v>
      </c>
      <c r="G78" s="36">
        <v>61</v>
      </c>
      <c r="H78" s="10">
        <v>7661.9794243650758</v>
      </c>
      <c r="I78" s="10">
        <f t="shared" si="15"/>
        <v>467380.74</v>
      </c>
      <c r="J78" s="2">
        <f t="shared" si="11"/>
        <v>38948.400000000001</v>
      </c>
      <c r="K78" s="3">
        <f t="shared" si="12"/>
        <v>-389.48</v>
      </c>
      <c r="L78" s="3">
        <f t="shared" si="13"/>
        <v>-1168.45</v>
      </c>
      <c r="M78" s="3"/>
      <c r="N78" s="5">
        <f t="shared" si="14"/>
        <v>37390.47</v>
      </c>
    </row>
    <row r="79" spans="1:14" ht="12.75" x14ac:dyDescent="0.2">
      <c r="A79" s="35" t="s">
        <v>166</v>
      </c>
      <c r="B79" s="13" t="s">
        <v>92</v>
      </c>
      <c r="C79" s="1" t="s">
        <v>24</v>
      </c>
      <c r="D79" s="22" t="s">
        <v>63</v>
      </c>
      <c r="E79" s="1" t="s">
        <v>195</v>
      </c>
      <c r="G79" s="36">
        <v>195.24</v>
      </c>
      <c r="H79" s="10">
        <v>7662.0914110189869</v>
      </c>
      <c r="I79" s="10">
        <f t="shared" si="15"/>
        <v>1495946.73</v>
      </c>
      <c r="J79" s="2">
        <f t="shared" si="11"/>
        <v>124662.23</v>
      </c>
      <c r="K79" s="3">
        <f t="shared" si="12"/>
        <v>-1246.6199999999999</v>
      </c>
      <c r="L79" s="3">
        <f t="shared" si="13"/>
        <v>-3739.87</v>
      </c>
      <c r="M79" s="3"/>
      <c r="N79" s="5">
        <f t="shared" si="14"/>
        <v>119675.74</v>
      </c>
    </row>
    <row r="80" spans="1:14" ht="12.75" x14ac:dyDescent="0.2">
      <c r="A80" s="35" t="s">
        <v>166</v>
      </c>
      <c r="B80" s="13" t="s">
        <v>92</v>
      </c>
      <c r="C80" s="1" t="s">
        <v>24</v>
      </c>
      <c r="D80" s="22" t="s">
        <v>174</v>
      </c>
      <c r="E80" s="1" t="s">
        <v>196</v>
      </c>
      <c r="G80" s="36">
        <v>225</v>
      </c>
      <c r="H80" s="10">
        <v>7662.0914110189869</v>
      </c>
      <c r="I80" s="10">
        <f t="shared" si="15"/>
        <v>1723970.57</v>
      </c>
      <c r="J80" s="2">
        <f t="shared" si="11"/>
        <v>143664.21</v>
      </c>
      <c r="K80" s="3">
        <f t="shared" si="12"/>
        <v>-1436.64</v>
      </c>
      <c r="L80" s="3">
        <f t="shared" si="13"/>
        <v>-4309.93</v>
      </c>
      <c r="M80" s="3"/>
      <c r="N80" s="5">
        <f t="shared" si="14"/>
        <v>137917.63999999998</v>
      </c>
    </row>
    <row r="81" spans="1:14" ht="12.75" x14ac:dyDescent="0.2">
      <c r="A81" s="35" t="s">
        <v>166</v>
      </c>
      <c r="B81" s="13" t="s">
        <v>92</v>
      </c>
      <c r="C81" s="1" t="s">
        <v>24</v>
      </c>
      <c r="D81" s="22" t="s">
        <v>115</v>
      </c>
      <c r="E81" s="1" t="s">
        <v>120</v>
      </c>
      <c r="G81" s="36">
        <v>166</v>
      </c>
      <c r="H81" s="10">
        <v>7662.0914110189869</v>
      </c>
      <c r="I81" s="10">
        <f t="shared" si="15"/>
        <v>1271907.17</v>
      </c>
      <c r="J81" s="2">
        <f t="shared" si="11"/>
        <v>105992.26</v>
      </c>
      <c r="K81" s="3">
        <f t="shared" si="12"/>
        <v>-1059.92</v>
      </c>
      <c r="L81" s="3">
        <f t="shared" si="13"/>
        <v>-3179.77</v>
      </c>
      <c r="M81" s="3"/>
      <c r="N81" s="5">
        <f t="shared" si="14"/>
        <v>101752.56999999999</v>
      </c>
    </row>
    <row r="82" spans="1:14" ht="12.75" x14ac:dyDescent="0.2">
      <c r="A82" s="35" t="s">
        <v>166</v>
      </c>
      <c r="B82" s="13" t="s">
        <v>92</v>
      </c>
      <c r="C82" s="1" t="s">
        <v>24</v>
      </c>
      <c r="D82" s="22" t="s">
        <v>117</v>
      </c>
      <c r="E82" s="1" t="s">
        <v>197</v>
      </c>
      <c r="G82" s="36">
        <v>234.5</v>
      </c>
      <c r="H82" s="10">
        <v>7662.0914110189869</v>
      </c>
      <c r="I82" s="10">
        <f t="shared" si="15"/>
        <v>1796760.44</v>
      </c>
      <c r="J82" s="2">
        <f t="shared" si="11"/>
        <v>149730.04</v>
      </c>
      <c r="K82" s="3">
        <f t="shared" si="12"/>
        <v>-1497.3</v>
      </c>
      <c r="L82" s="3">
        <f t="shared" si="13"/>
        <v>-4491.8999999999996</v>
      </c>
      <c r="M82" s="3"/>
      <c r="N82" s="5">
        <f t="shared" si="14"/>
        <v>143740.84000000003</v>
      </c>
    </row>
    <row r="83" spans="1:14" ht="12.75" x14ac:dyDescent="0.2">
      <c r="A83" s="35" t="s">
        <v>166</v>
      </c>
      <c r="B83" s="13" t="s">
        <v>92</v>
      </c>
      <c r="C83" s="1" t="s">
        <v>24</v>
      </c>
      <c r="D83" s="22" t="s">
        <v>64</v>
      </c>
      <c r="E83" s="1" t="s">
        <v>198</v>
      </c>
      <c r="G83" s="36">
        <v>1305</v>
      </c>
      <c r="H83" s="10">
        <v>7662.0914110189869</v>
      </c>
      <c r="I83" s="10">
        <f t="shared" si="15"/>
        <v>9999029.2899999991</v>
      </c>
      <c r="J83" s="2">
        <f t="shared" si="11"/>
        <v>833252.44</v>
      </c>
      <c r="K83" s="3">
        <f t="shared" si="12"/>
        <v>-8332.52</v>
      </c>
      <c r="L83" s="3">
        <f t="shared" si="13"/>
        <v>-24997.57</v>
      </c>
      <c r="M83" s="3">
        <v>-160915</v>
      </c>
      <c r="N83" s="5">
        <f t="shared" si="14"/>
        <v>639007.35</v>
      </c>
    </row>
    <row r="84" spans="1:14" ht="12.75" x14ac:dyDescent="0.2">
      <c r="A84" s="35" t="s">
        <v>166</v>
      </c>
      <c r="B84" s="13" t="s">
        <v>92</v>
      </c>
      <c r="C84" s="1" t="s">
        <v>24</v>
      </c>
      <c r="D84" s="22" t="s">
        <v>116</v>
      </c>
      <c r="E84" s="1" t="s">
        <v>199</v>
      </c>
      <c r="G84" s="36">
        <v>100</v>
      </c>
      <c r="H84" s="10">
        <v>7662.0914110189869</v>
      </c>
      <c r="I84" s="10">
        <f t="shared" si="15"/>
        <v>766209.14</v>
      </c>
      <c r="J84" s="2">
        <f t="shared" si="11"/>
        <v>63850.76</v>
      </c>
      <c r="K84" s="3">
        <f t="shared" si="12"/>
        <v>-638.51</v>
      </c>
      <c r="L84" s="3">
        <f t="shared" si="13"/>
        <v>-1915.52</v>
      </c>
      <c r="M84" s="3"/>
      <c r="N84" s="5">
        <f t="shared" si="14"/>
        <v>61296.73</v>
      </c>
    </row>
    <row r="85" spans="1:14" ht="12.75" x14ac:dyDescent="0.2">
      <c r="A85" s="35" t="s">
        <v>162</v>
      </c>
      <c r="B85" s="13" t="s">
        <v>93</v>
      </c>
      <c r="C85" s="5" t="s">
        <v>19</v>
      </c>
      <c r="D85" s="21" t="s">
        <v>59</v>
      </c>
      <c r="E85" s="5" t="s">
        <v>200</v>
      </c>
      <c r="G85" s="36">
        <v>300</v>
      </c>
      <c r="H85" s="10">
        <v>8343.713781491635</v>
      </c>
      <c r="I85" s="10">
        <f t="shared" si="15"/>
        <v>2503114.13</v>
      </c>
      <c r="J85" s="2">
        <f t="shared" si="11"/>
        <v>208592.84</v>
      </c>
      <c r="K85" s="3">
        <f t="shared" si="12"/>
        <v>-2085.9299999999998</v>
      </c>
      <c r="L85" s="3">
        <f t="shared" si="13"/>
        <v>-6257.79</v>
      </c>
      <c r="M85" s="3"/>
      <c r="N85" s="5">
        <f t="shared" si="14"/>
        <v>200249.12</v>
      </c>
    </row>
    <row r="86" spans="1:14" ht="12.75" x14ac:dyDescent="0.2">
      <c r="A86" s="35" t="s">
        <v>162</v>
      </c>
      <c r="B86" s="13" t="s">
        <v>93</v>
      </c>
      <c r="C86" s="7" t="s">
        <v>19</v>
      </c>
      <c r="D86" s="22" t="s">
        <v>60</v>
      </c>
      <c r="E86" s="7" t="s">
        <v>201</v>
      </c>
      <c r="G86" s="36">
        <v>363</v>
      </c>
      <c r="H86" s="10">
        <v>8343.713781491635</v>
      </c>
      <c r="I86" s="10">
        <f t="shared" si="15"/>
        <v>3028768.1</v>
      </c>
      <c r="J86" s="2">
        <f t="shared" si="11"/>
        <v>252397.34</v>
      </c>
      <c r="K86" s="3">
        <f t="shared" si="12"/>
        <v>-2523.9699999999998</v>
      </c>
      <c r="L86" s="3">
        <f t="shared" si="13"/>
        <v>-7571.92</v>
      </c>
      <c r="M86" s="3">
        <v>-42338.259999999995</v>
      </c>
      <c r="N86" s="5">
        <f t="shared" si="14"/>
        <v>199963.19</v>
      </c>
    </row>
    <row r="87" spans="1:14" ht="12.75" x14ac:dyDescent="0.2">
      <c r="A87" s="35" t="s">
        <v>156</v>
      </c>
      <c r="B87" s="13" t="s">
        <v>94</v>
      </c>
      <c r="C87" s="5" t="s">
        <v>40</v>
      </c>
      <c r="D87" s="21" t="s">
        <v>82</v>
      </c>
      <c r="E87" s="5" t="s">
        <v>202</v>
      </c>
      <c r="G87" s="36">
        <v>86</v>
      </c>
      <c r="H87" s="10">
        <v>7939.791327137541</v>
      </c>
      <c r="I87" s="10">
        <f t="shared" si="15"/>
        <v>682822.05</v>
      </c>
      <c r="J87" s="2">
        <f t="shared" si="11"/>
        <v>56901.84</v>
      </c>
      <c r="K87" s="3">
        <f t="shared" si="12"/>
        <v>-569.02</v>
      </c>
      <c r="L87" s="3">
        <f t="shared" si="13"/>
        <v>-1707.06</v>
      </c>
      <c r="M87" s="3"/>
      <c r="N87" s="5">
        <f t="shared" si="14"/>
        <v>54625.760000000002</v>
      </c>
    </row>
    <row r="88" spans="1:14" ht="12.75" x14ac:dyDescent="0.2">
      <c r="A88" s="35" t="s">
        <v>169</v>
      </c>
      <c r="B88" s="13" t="s">
        <v>95</v>
      </c>
      <c r="C88" s="5" t="s">
        <v>175</v>
      </c>
      <c r="D88" s="21" t="s">
        <v>74</v>
      </c>
      <c r="E88" s="5" t="s">
        <v>203</v>
      </c>
      <c r="G88" s="36">
        <v>133</v>
      </c>
      <c r="H88" s="10">
        <v>7996.3401805053491</v>
      </c>
      <c r="I88" s="10">
        <f t="shared" si="15"/>
        <v>1063513.24</v>
      </c>
      <c r="J88" s="2">
        <f t="shared" si="11"/>
        <v>88626.1</v>
      </c>
      <c r="K88" s="3">
        <f t="shared" si="12"/>
        <v>-886.26</v>
      </c>
      <c r="L88" s="3">
        <f t="shared" si="13"/>
        <v>-2658.78</v>
      </c>
      <c r="M88" s="3"/>
      <c r="N88" s="5">
        <f t="shared" si="14"/>
        <v>85081.060000000012</v>
      </c>
    </row>
    <row r="89" spans="1:14" ht="12.75" x14ac:dyDescent="0.2">
      <c r="A89" s="35" t="s">
        <v>152</v>
      </c>
      <c r="B89" s="13" t="s">
        <v>86</v>
      </c>
      <c r="C89" s="5" t="s">
        <v>176</v>
      </c>
      <c r="D89" s="21" t="s">
        <v>67</v>
      </c>
      <c r="E89" s="5" t="s">
        <v>204</v>
      </c>
      <c r="G89" s="36">
        <v>470</v>
      </c>
      <c r="H89" s="10">
        <v>8563.2744493222235</v>
      </c>
      <c r="I89" s="10">
        <f t="shared" si="15"/>
        <v>4024738.99</v>
      </c>
      <c r="J89" s="2">
        <f t="shared" si="11"/>
        <v>335394.92</v>
      </c>
      <c r="K89" s="3">
        <f t="shared" si="12"/>
        <v>-3353.95</v>
      </c>
      <c r="L89" s="3">
        <f t="shared" si="13"/>
        <v>-10061.85</v>
      </c>
      <c r="M89" s="3">
        <v>-30723.41</v>
      </c>
      <c r="N89" s="5">
        <f t="shared" si="14"/>
        <v>291255.71000000002</v>
      </c>
    </row>
    <row r="90" spans="1:14" x14ac:dyDescent="0.25">
      <c r="A90" s="35" t="s">
        <v>152</v>
      </c>
      <c r="B90" s="13" t="s">
        <v>86</v>
      </c>
      <c r="C90" s="6" t="s">
        <v>176</v>
      </c>
      <c r="D90" t="s">
        <v>47</v>
      </c>
      <c r="E90" s="6" t="s">
        <v>205</v>
      </c>
      <c r="G90" s="36">
        <v>310</v>
      </c>
      <c r="H90" s="10">
        <v>8563.2744493222235</v>
      </c>
      <c r="I90" s="10">
        <f t="shared" si="15"/>
        <v>2654615.08</v>
      </c>
      <c r="J90" s="2">
        <f t="shared" si="11"/>
        <v>221217.92000000001</v>
      </c>
      <c r="K90" s="3">
        <f t="shared" si="12"/>
        <v>-2212.1799999999998</v>
      </c>
      <c r="L90" s="3">
        <f t="shared" si="13"/>
        <v>-6636.54</v>
      </c>
      <c r="M90" s="3">
        <v>-42638.53</v>
      </c>
      <c r="N90" s="5">
        <f t="shared" si="14"/>
        <v>169730.67</v>
      </c>
    </row>
    <row r="91" spans="1:14" x14ac:dyDescent="0.25">
      <c r="A91" s="35" t="s">
        <v>152</v>
      </c>
      <c r="B91" s="13" t="s">
        <v>86</v>
      </c>
      <c r="C91" s="8" t="s">
        <v>176</v>
      </c>
      <c r="D91" t="s">
        <v>48</v>
      </c>
      <c r="E91" s="8" t="s">
        <v>206</v>
      </c>
      <c r="G91" s="36">
        <v>257.10000000000002</v>
      </c>
      <c r="H91" s="10">
        <v>8563.2744493222235</v>
      </c>
      <c r="I91" s="10">
        <f t="shared" si="15"/>
        <v>2201617.86</v>
      </c>
      <c r="J91" s="2">
        <f t="shared" si="11"/>
        <v>183468.16</v>
      </c>
      <c r="K91" s="3">
        <f t="shared" si="12"/>
        <v>-1834.68</v>
      </c>
      <c r="L91" s="3">
        <f t="shared" si="13"/>
        <v>-5504.04</v>
      </c>
      <c r="M91" s="3"/>
      <c r="N91" s="5">
        <f t="shared" si="14"/>
        <v>176129.44</v>
      </c>
    </row>
    <row r="92" spans="1:14" x14ac:dyDescent="0.25">
      <c r="G92" s="9"/>
      <c r="H92" s="6"/>
      <c r="I92" s="6"/>
      <c r="J92" s="6"/>
      <c r="K92" s="6"/>
      <c r="L92" s="6"/>
      <c r="M92" s="6"/>
      <c r="N92" s="6"/>
    </row>
    <row r="93" spans="1:14" x14ac:dyDescent="0.25">
      <c r="G93" s="16">
        <f>SUM(G52:G92)</f>
        <v>19037.5</v>
      </c>
      <c r="H93" s="8"/>
      <c r="I93" s="16">
        <f t="shared" ref="I93" si="16">SUM(I52:I92)</f>
        <v>152169644.90000004</v>
      </c>
      <c r="J93" s="16">
        <f t="shared" ref="J93" si="17">SUM(J52:J92)</f>
        <v>12680803.76</v>
      </c>
      <c r="K93" s="8">
        <f t="shared" ref="K93" si="18">SUM(K52:K92)</f>
        <v>-126808.02999999996</v>
      </c>
      <c r="L93" s="8">
        <f t="shared" ref="L93" si="19">SUM(L52:L92)</f>
        <v>-380424.13</v>
      </c>
      <c r="M93" s="8">
        <f t="shared" ref="M93" si="20">SUM(M52:M92)</f>
        <v>-1426525.9300000002</v>
      </c>
      <c r="N93" s="16">
        <f t="shared" ref="N93" si="21">SUM(N52:N92)</f>
        <v>10747045.67</v>
      </c>
    </row>
    <row r="94" spans="1:14" x14ac:dyDescent="0.25">
      <c r="J94" s="16"/>
      <c r="L94" s="8">
        <f>K93+L93</f>
        <v>-507232.16</v>
      </c>
    </row>
    <row r="97" spans="1:14" ht="12.75" x14ac:dyDescent="0.2">
      <c r="A97" s="17" t="s">
        <v>170</v>
      </c>
      <c r="B97" s="17"/>
      <c r="C97" s="11"/>
      <c r="D97" s="11"/>
      <c r="E97" s="17"/>
      <c r="F97" s="19"/>
      <c r="G97" s="19"/>
      <c r="H97" s="19"/>
      <c r="I97" s="19"/>
      <c r="J97" s="19"/>
      <c r="K97" s="19"/>
      <c r="L97" s="19"/>
      <c r="M97" s="19"/>
      <c r="N97" s="19"/>
    </row>
    <row r="98" spans="1:14" ht="63.75" x14ac:dyDescent="0.2">
      <c r="A98" s="20" t="s">
        <v>208</v>
      </c>
      <c r="B98" s="20"/>
      <c r="C98" s="11"/>
      <c r="D98" s="11" t="s">
        <v>38</v>
      </c>
      <c r="E98" s="17" t="s">
        <v>39</v>
      </c>
      <c r="F98" s="12"/>
      <c r="G98" s="23" t="s">
        <v>0</v>
      </c>
      <c r="H98" s="23" t="s">
        <v>1</v>
      </c>
      <c r="I98" s="23" t="s">
        <v>2</v>
      </c>
      <c r="J98" s="23" t="s">
        <v>3</v>
      </c>
      <c r="K98" s="23" t="s">
        <v>4</v>
      </c>
      <c r="L98" s="23" t="s">
        <v>5</v>
      </c>
      <c r="M98" s="23" t="s">
        <v>28</v>
      </c>
      <c r="N98" s="23" t="s">
        <v>6</v>
      </c>
    </row>
    <row r="99" spans="1:14" x14ac:dyDescent="0.25">
      <c r="C99" s="6"/>
      <c r="E99" s="6"/>
      <c r="F99" s="6"/>
      <c r="G99" s="14"/>
      <c r="H99" s="10"/>
      <c r="I99" s="10"/>
      <c r="J99" s="10"/>
      <c r="K99" s="10"/>
      <c r="L99" s="10"/>
      <c r="M99" s="10"/>
      <c r="N99" s="5"/>
    </row>
    <row r="100" spans="1:14" ht="12.75" x14ac:dyDescent="0.2">
      <c r="A100" s="35" t="s">
        <v>142</v>
      </c>
      <c r="B100" s="13" t="s">
        <v>86</v>
      </c>
      <c r="C100" s="1" t="s">
        <v>172</v>
      </c>
      <c r="D100" s="21" t="s">
        <v>44</v>
      </c>
      <c r="E100" s="1" t="s">
        <v>177</v>
      </c>
      <c r="G100" s="36">
        <v>1839</v>
      </c>
      <c r="H100" s="10">
        <v>7890.8685587645041</v>
      </c>
      <c r="I100" s="10">
        <f>ROUND(G100*H100,2)</f>
        <v>14511307.279999999</v>
      </c>
      <c r="J100" s="2">
        <f t="shared" ref="J100:J139" si="22">ROUND(I100/12,2)</f>
        <v>1209275.6100000001</v>
      </c>
      <c r="K100" s="3">
        <f t="shared" ref="K100:K139" si="23">ROUND(I100*-0.01/12,2)</f>
        <v>-12092.76</v>
      </c>
      <c r="L100" s="3">
        <f t="shared" ref="L100:L139" si="24">ROUND(I100*-0.03/12,2)</f>
        <v>-36278.269999999997</v>
      </c>
      <c r="M100" s="3">
        <v>-95728.75</v>
      </c>
      <c r="N100" s="5">
        <f t="shared" ref="N100:N139" si="25">J100+K100+L100+M100</f>
        <v>1065175.83</v>
      </c>
    </row>
    <row r="101" spans="1:14" ht="12.75" x14ac:dyDescent="0.2">
      <c r="A101" s="35" t="s">
        <v>142</v>
      </c>
      <c r="B101" s="13" t="s">
        <v>86</v>
      </c>
      <c r="C101" s="5" t="s">
        <v>172</v>
      </c>
      <c r="D101" s="21" t="s">
        <v>68</v>
      </c>
      <c r="E101" s="5" t="s">
        <v>178</v>
      </c>
      <c r="G101" s="36">
        <v>845</v>
      </c>
      <c r="H101" s="10">
        <v>7890.8685587645041</v>
      </c>
      <c r="I101" s="10">
        <f t="shared" ref="I101:I139" si="26">ROUND(G101*H101,2)</f>
        <v>6667783.9299999997</v>
      </c>
      <c r="J101" s="2">
        <f t="shared" si="22"/>
        <v>555648.66</v>
      </c>
      <c r="K101" s="3">
        <f t="shared" si="23"/>
        <v>-5556.49</v>
      </c>
      <c r="L101" s="3">
        <f t="shared" si="24"/>
        <v>-16669.46</v>
      </c>
      <c r="M101" s="3">
        <v>-32574.17</v>
      </c>
      <c r="N101" s="5">
        <f t="shared" si="25"/>
        <v>500848.5400000001</v>
      </c>
    </row>
    <row r="102" spans="1:14" ht="12.75" x14ac:dyDescent="0.2">
      <c r="A102" s="35" t="s">
        <v>142</v>
      </c>
      <c r="B102" s="13" t="s">
        <v>86</v>
      </c>
      <c r="C102" s="1" t="s">
        <v>172</v>
      </c>
      <c r="D102" s="22" t="s">
        <v>146</v>
      </c>
      <c r="E102" s="1" t="s">
        <v>179</v>
      </c>
      <c r="G102" s="36">
        <v>2001</v>
      </c>
      <c r="H102" s="10">
        <v>7890.8685587645041</v>
      </c>
      <c r="I102" s="10">
        <f t="shared" si="26"/>
        <v>15789627.99</v>
      </c>
      <c r="J102" s="2">
        <f t="shared" si="22"/>
        <v>1315802.33</v>
      </c>
      <c r="K102" s="3">
        <f t="shared" si="23"/>
        <v>-13158.02</v>
      </c>
      <c r="L102" s="3">
        <f t="shared" si="24"/>
        <v>-39474.07</v>
      </c>
      <c r="M102" s="3">
        <v>-187836.66999999998</v>
      </c>
      <c r="N102" s="5">
        <f t="shared" si="25"/>
        <v>1075333.57</v>
      </c>
    </row>
    <row r="103" spans="1:14" ht="12.75" x14ac:dyDescent="0.2">
      <c r="A103" s="35" t="s">
        <v>153</v>
      </c>
      <c r="B103" s="13" t="s">
        <v>89</v>
      </c>
      <c r="C103" s="5" t="s">
        <v>29</v>
      </c>
      <c r="D103" s="21" t="s">
        <v>80</v>
      </c>
      <c r="E103" s="5" t="s">
        <v>180</v>
      </c>
      <c r="G103" s="36">
        <v>375</v>
      </c>
      <c r="H103" s="10">
        <v>8714.1967120380505</v>
      </c>
      <c r="I103" s="10">
        <f t="shared" si="26"/>
        <v>3267823.77</v>
      </c>
      <c r="J103" s="2">
        <f t="shared" si="22"/>
        <v>272318.65000000002</v>
      </c>
      <c r="K103" s="3">
        <f t="shared" si="23"/>
        <v>-2723.19</v>
      </c>
      <c r="L103" s="3">
        <f t="shared" si="24"/>
        <v>-8169.56</v>
      </c>
      <c r="M103" s="3">
        <v>-98004.89</v>
      </c>
      <c r="N103" s="5">
        <f t="shared" si="25"/>
        <v>163421.01</v>
      </c>
    </row>
    <row r="104" spans="1:14" ht="12.75" x14ac:dyDescent="0.2">
      <c r="A104" s="35" t="s">
        <v>153</v>
      </c>
      <c r="B104" s="13" t="s">
        <v>89</v>
      </c>
      <c r="C104" s="5" t="s">
        <v>29</v>
      </c>
      <c r="D104" s="21" t="s">
        <v>49</v>
      </c>
      <c r="E104" s="5" t="s">
        <v>181</v>
      </c>
      <c r="G104" s="36">
        <v>322</v>
      </c>
      <c r="H104" s="10">
        <v>8714.1967120380505</v>
      </c>
      <c r="I104" s="10">
        <f t="shared" si="26"/>
        <v>2805971.34</v>
      </c>
      <c r="J104" s="2">
        <f t="shared" si="22"/>
        <v>233830.95</v>
      </c>
      <c r="K104" s="3">
        <f t="shared" si="23"/>
        <v>-2338.31</v>
      </c>
      <c r="L104" s="3">
        <f t="shared" si="24"/>
        <v>-7014.93</v>
      </c>
      <c r="M104" s="3"/>
      <c r="N104" s="5">
        <f t="shared" si="25"/>
        <v>224477.71000000002</v>
      </c>
    </row>
    <row r="105" spans="1:14" ht="12.75" x14ac:dyDescent="0.2">
      <c r="A105" s="34" t="s">
        <v>153</v>
      </c>
      <c r="B105" s="13" t="s">
        <v>89</v>
      </c>
      <c r="C105" s="5" t="s">
        <v>29</v>
      </c>
      <c r="D105" s="21" t="s">
        <v>50</v>
      </c>
      <c r="E105" s="5" t="s">
        <v>182</v>
      </c>
      <c r="F105" s="15"/>
      <c r="G105" s="36">
        <v>270.10000000000002</v>
      </c>
      <c r="H105" s="10">
        <v>8714.1967120380505</v>
      </c>
      <c r="I105" s="10">
        <f t="shared" si="26"/>
        <v>2353704.5299999998</v>
      </c>
      <c r="J105" s="2">
        <f t="shared" si="22"/>
        <v>196142.04</v>
      </c>
      <c r="K105" s="3">
        <f t="shared" si="23"/>
        <v>-1961.42</v>
      </c>
      <c r="L105" s="3">
        <f t="shared" si="24"/>
        <v>-5884.26</v>
      </c>
      <c r="M105" s="3"/>
      <c r="N105" s="5">
        <f t="shared" si="25"/>
        <v>188296.36</v>
      </c>
    </row>
    <row r="106" spans="1:14" ht="12.75" x14ac:dyDescent="0.2">
      <c r="A106" s="34" t="s">
        <v>153</v>
      </c>
      <c r="B106" s="13" t="s">
        <v>89</v>
      </c>
      <c r="C106" s="5" t="s">
        <v>29</v>
      </c>
      <c r="D106" s="21" t="s">
        <v>97</v>
      </c>
      <c r="E106" s="5" t="s">
        <v>183</v>
      </c>
      <c r="F106" s="15"/>
      <c r="G106" s="36">
        <v>101</v>
      </c>
      <c r="H106" s="10">
        <v>8714.1967120380505</v>
      </c>
      <c r="I106" s="10">
        <f t="shared" si="26"/>
        <v>880133.87</v>
      </c>
      <c r="J106" s="2">
        <f t="shared" si="22"/>
        <v>73344.490000000005</v>
      </c>
      <c r="K106" s="3">
        <f t="shared" si="23"/>
        <v>-733.44</v>
      </c>
      <c r="L106" s="3">
        <f t="shared" si="24"/>
        <v>-2200.33</v>
      </c>
      <c r="M106" s="3"/>
      <c r="N106" s="5">
        <f t="shared" si="25"/>
        <v>70410.720000000001</v>
      </c>
    </row>
    <row r="107" spans="1:14" ht="12.75" x14ac:dyDescent="0.2">
      <c r="A107" s="34" t="s">
        <v>151</v>
      </c>
      <c r="B107" s="13" t="s">
        <v>86</v>
      </c>
      <c r="C107" s="1" t="s">
        <v>85</v>
      </c>
      <c r="D107" s="22" t="s">
        <v>46</v>
      </c>
      <c r="E107" s="4" t="s">
        <v>184</v>
      </c>
      <c r="F107" s="15"/>
      <c r="G107" s="36">
        <v>685</v>
      </c>
      <c r="H107" s="10">
        <v>7792.632667540046</v>
      </c>
      <c r="I107" s="10">
        <f t="shared" si="26"/>
        <v>5337953.38</v>
      </c>
      <c r="J107" s="2">
        <f t="shared" si="22"/>
        <v>444829.45</v>
      </c>
      <c r="K107" s="3">
        <f t="shared" si="23"/>
        <v>-4448.29</v>
      </c>
      <c r="L107" s="3">
        <f t="shared" si="24"/>
        <v>-13344.88</v>
      </c>
      <c r="M107" s="3">
        <v>-68529.38</v>
      </c>
      <c r="N107" s="5">
        <f t="shared" si="25"/>
        <v>358506.9</v>
      </c>
    </row>
    <row r="108" spans="1:14" ht="12.75" x14ac:dyDescent="0.2">
      <c r="A108" s="34" t="s">
        <v>147</v>
      </c>
      <c r="B108" s="13" t="s">
        <v>86</v>
      </c>
      <c r="C108" s="5" t="s">
        <v>8</v>
      </c>
      <c r="D108" s="21" t="s">
        <v>45</v>
      </c>
      <c r="E108" s="18" t="s">
        <v>185</v>
      </c>
      <c r="F108" s="15"/>
      <c r="G108" s="36">
        <v>750</v>
      </c>
      <c r="H108" s="10">
        <v>8566.0669376956666</v>
      </c>
      <c r="I108" s="10">
        <f t="shared" si="26"/>
        <v>6424550.2000000002</v>
      </c>
      <c r="J108" s="2">
        <f t="shared" si="22"/>
        <v>535379.18000000005</v>
      </c>
      <c r="K108" s="3">
        <f t="shared" si="23"/>
        <v>-5353.79</v>
      </c>
      <c r="L108" s="3">
        <f t="shared" si="24"/>
        <v>-16061.38</v>
      </c>
      <c r="M108" s="3">
        <v>-159448.34</v>
      </c>
      <c r="N108" s="5">
        <f t="shared" si="25"/>
        <v>354515.67000000004</v>
      </c>
    </row>
    <row r="109" spans="1:14" ht="12.75" x14ac:dyDescent="0.2">
      <c r="A109" s="34" t="s">
        <v>161</v>
      </c>
      <c r="B109" s="15" t="s">
        <v>90</v>
      </c>
      <c r="C109" s="5" t="s">
        <v>15</v>
      </c>
      <c r="D109" s="21" t="s">
        <v>55</v>
      </c>
      <c r="E109" s="5" t="s">
        <v>186</v>
      </c>
      <c r="F109" s="15"/>
      <c r="G109" s="36">
        <v>550</v>
      </c>
      <c r="H109" s="10">
        <v>7977.364453823483</v>
      </c>
      <c r="I109" s="10">
        <f t="shared" si="26"/>
        <v>4387550.45</v>
      </c>
      <c r="J109" s="2">
        <f t="shared" si="22"/>
        <v>365629.2</v>
      </c>
      <c r="K109" s="3">
        <f t="shared" si="23"/>
        <v>-3656.29</v>
      </c>
      <c r="L109" s="3">
        <f t="shared" si="24"/>
        <v>-10968.88</v>
      </c>
      <c r="M109" s="3">
        <v>-146415.41999999998</v>
      </c>
      <c r="N109" s="5">
        <f t="shared" si="25"/>
        <v>204588.61000000004</v>
      </c>
    </row>
    <row r="110" spans="1:14" ht="12.75" x14ac:dyDescent="0.2">
      <c r="A110" s="34" t="s">
        <v>161</v>
      </c>
      <c r="B110" s="15" t="s">
        <v>90</v>
      </c>
      <c r="C110" s="5" t="s">
        <v>15</v>
      </c>
      <c r="D110" s="21" t="s">
        <v>56</v>
      </c>
      <c r="E110" s="5" t="s">
        <v>187</v>
      </c>
      <c r="F110" s="15"/>
      <c r="G110" s="36">
        <v>239</v>
      </c>
      <c r="H110" s="10">
        <v>7977.364453823483</v>
      </c>
      <c r="I110" s="10">
        <f t="shared" si="26"/>
        <v>1906590.1</v>
      </c>
      <c r="J110" s="2">
        <f t="shared" si="22"/>
        <v>158882.51</v>
      </c>
      <c r="K110" s="3">
        <f t="shared" si="23"/>
        <v>-1588.83</v>
      </c>
      <c r="L110" s="3">
        <f t="shared" si="24"/>
        <v>-4766.4799999999996</v>
      </c>
      <c r="M110" s="3"/>
      <c r="N110" s="5">
        <f t="shared" si="25"/>
        <v>152527.20000000001</v>
      </c>
    </row>
    <row r="111" spans="1:14" ht="12.75" x14ac:dyDescent="0.2">
      <c r="A111" s="34" t="s">
        <v>161</v>
      </c>
      <c r="B111" s="15" t="s">
        <v>90</v>
      </c>
      <c r="C111" s="1" t="s">
        <v>15</v>
      </c>
      <c r="D111" s="22" t="s">
        <v>79</v>
      </c>
      <c r="E111" s="1" t="s">
        <v>77</v>
      </c>
      <c r="F111" s="15"/>
      <c r="G111" s="36">
        <v>590</v>
      </c>
      <c r="H111" s="10">
        <v>7977.364453823483</v>
      </c>
      <c r="I111" s="10">
        <f t="shared" si="26"/>
        <v>4706645.03</v>
      </c>
      <c r="J111" s="2">
        <f t="shared" si="22"/>
        <v>392220.42</v>
      </c>
      <c r="K111" s="3">
        <f t="shared" si="23"/>
        <v>-3922.2</v>
      </c>
      <c r="L111" s="3">
        <f t="shared" si="24"/>
        <v>-11766.61</v>
      </c>
      <c r="M111" s="3"/>
      <c r="N111" s="5">
        <f t="shared" si="25"/>
        <v>376531.61</v>
      </c>
    </row>
    <row r="112" spans="1:14" ht="12.75" x14ac:dyDescent="0.2">
      <c r="A112" s="34" t="s">
        <v>161</v>
      </c>
      <c r="B112" s="15" t="s">
        <v>90</v>
      </c>
      <c r="C112" s="1" t="s">
        <v>15</v>
      </c>
      <c r="D112" s="22" t="s">
        <v>54</v>
      </c>
      <c r="E112" s="1" t="s">
        <v>17</v>
      </c>
      <c r="F112" s="15"/>
      <c r="G112" s="36">
        <v>404</v>
      </c>
      <c r="H112" s="10">
        <v>7977.364453823483</v>
      </c>
      <c r="I112" s="10">
        <f t="shared" si="26"/>
        <v>3222855.24</v>
      </c>
      <c r="J112" s="2">
        <f t="shared" si="22"/>
        <v>268571.27</v>
      </c>
      <c r="K112" s="3">
        <f t="shared" si="23"/>
        <v>-2685.71</v>
      </c>
      <c r="L112" s="3">
        <f t="shared" si="24"/>
        <v>-8057.14</v>
      </c>
      <c r="M112" s="3">
        <v>-42500</v>
      </c>
      <c r="N112" s="5">
        <f t="shared" si="25"/>
        <v>215328.41999999998</v>
      </c>
    </row>
    <row r="113" spans="1:14" ht="12.75" x14ac:dyDescent="0.2">
      <c r="A113" s="34" t="s">
        <v>161</v>
      </c>
      <c r="B113" s="15" t="s">
        <v>90</v>
      </c>
      <c r="C113" s="1" t="s">
        <v>15</v>
      </c>
      <c r="D113" s="22" t="s">
        <v>114</v>
      </c>
      <c r="E113" s="1" t="s">
        <v>124</v>
      </c>
      <c r="F113" s="15"/>
      <c r="G113" s="36">
        <v>192</v>
      </c>
      <c r="H113" s="10">
        <v>7977.364453823483</v>
      </c>
      <c r="I113" s="10">
        <f t="shared" si="26"/>
        <v>1531653.98</v>
      </c>
      <c r="J113" s="2">
        <f t="shared" si="22"/>
        <v>127637.83</v>
      </c>
      <c r="K113" s="3">
        <f t="shared" si="23"/>
        <v>-1276.3800000000001</v>
      </c>
      <c r="L113" s="3">
        <f t="shared" si="24"/>
        <v>-3829.13</v>
      </c>
      <c r="M113" s="3"/>
      <c r="N113" s="5">
        <f t="shared" si="25"/>
        <v>122532.31999999999</v>
      </c>
    </row>
    <row r="114" spans="1:14" ht="12.75" x14ac:dyDescent="0.2">
      <c r="A114" s="34" t="s">
        <v>161</v>
      </c>
      <c r="B114" s="15" t="s">
        <v>90</v>
      </c>
      <c r="C114" s="1" t="s">
        <v>15</v>
      </c>
      <c r="D114" s="22" t="s">
        <v>118</v>
      </c>
      <c r="E114" s="4" t="s">
        <v>119</v>
      </c>
      <c r="G114" s="36">
        <v>263</v>
      </c>
      <c r="H114" s="10">
        <v>7977.364453823483</v>
      </c>
      <c r="I114" s="10">
        <f t="shared" si="26"/>
        <v>2098046.85</v>
      </c>
      <c r="J114" s="2">
        <f t="shared" si="22"/>
        <v>174837.24</v>
      </c>
      <c r="K114" s="3">
        <f t="shared" si="23"/>
        <v>-1748.37</v>
      </c>
      <c r="L114" s="3">
        <f t="shared" si="24"/>
        <v>-5245.12</v>
      </c>
      <c r="M114" s="3"/>
      <c r="N114" s="5">
        <f t="shared" si="25"/>
        <v>167843.75</v>
      </c>
    </row>
    <row r="115" spans="1:14" ht="12.75" x14ac:dyDescent="0.2">
      <c r="A115" s="34" t="s">
        <v>161</v>
      </c>
      <c r="B115" s="15" t="s">
        <v>90</v>
      </c>
      <c r="C115" s="1" t="s">
        <v>15</v>
      </c>
      <c r="D115" s="22" t="s">
        <v>58</v>
      </c>
      <c r="E115" s="1" t="s">
        <v>188</v>
      </c>
      <c r="G115" s="36">
        <v>324</v>
      </c>
      <c r="H115" s="10">
        <v>7977.364453823483</v>
      </c>
      <c r="I115" s="10">
        <f t="shared" si="26"/>
        <v>2584666.08</v>
      </c>
      <c r="J115" s="2">
        <f t="shared" si="22"/>
        <v>215388.84</v>
      </c>
      <c r="K115" s="3">
        <f t="shared" si="23"/>
        <v>-2153.89</v>
      </c>
      <c r="L115" s="3">
        <f t="shared" si="24"/>
        <v>-6461.67</v>
      </c>
      <c r="M115" s="3">
        <v>-17523.8</v>
      </c>
      <c r="N115" s="5">
        <f t="shared" si="25"/>
        <v>189249.47999999998</v>
      </c>
    </row>
    <row r="116" spans="1:14" ht="12.75" x14ac:dyDescent="0.2">
      <c r="A116" s="34" t="s">
        <v>161</v>
      </c>
      <c r="B116" s="15" t="s">
        <v>90</v>
      </c>
      <c r="C116" s="1" t="s">
        <v>15</v>
      </c>
      <c r="D116" s="22" t="s">
        <v>71</v>
      </c>
      <c r="E116" s="4" t="s">
        <v>70</v>
      </c>
      <c r="G116" s="36">
        <v>70</v>
      </c>
      <c r="H116" s="10">
        <v>7977.364453823483</v>
      </c>
      <c r="I116" s="10">
        <f t="shared" si="26"/>
        <v>558415.51</v>
      </c>
      <c r="J116" s="2">
        <f t="shared" si="22"/>
        <v>46534.63</v>
      </c>
      <c r="K116" s="3">
        <f t="shared" si="23"/>
        <v>-465.35</v>
      </c>
      <c r="L116" s="3">
        <f t="shared" si="24"/>
        <v>-1396.04</v>
      </c>
      <c r="M116" s="3"/>
      <c r="N116" s="5">
        <f t="shared" si="25"/>
        <v>44673.24</v>
      </c>
    </row>
    <row r="117" spans="1:14" ht="12.75" x14ac:dyDescent="0.2">
      <c r="A117" s="34" t="s">
        <v>161</v>
      </c>
      <c r="B117" s="15" t="s">
        <v>90</v>
      </c>
      <c r="C117" s="7" t="s">
        <v>15</v>
      </c>
      <c r="D117" s="21" t="s">
        <v>57</v>
      </c>
      <c r="E117" s="7" t="s">
        <v>32</v>
      </c>
      <c r="G117" s="36">
        <v>327.62</v>
      </c>
      <c r="H117" s="10">
        <v>7977.364453823483</v>
      </c>
      <c r="I117" s="10">
        <f t="shared" si="26"/>
        <v>2613544.14</v>
      </c>
      <c r="J117" s="2">
        <f t="shared" si="22"/>
        <v>217795.35</v>
      </c>
      <c r="K117" s="3">
        <f t="shared" si="23"/>
        <v>-2177.9499999999998</v>
      </c>
      <c r="L117" s="3">
        <f t="shared" si="24"/>
        <v>-6533.86</v>
      </c>
      <c r="M117" s="3"/>
      <c r="N117" s="5">
        <f t="shared" si="25"/>
        <v>209083.54</v>
      </c>
    </row>
    <row r="118" spans="1:14" ht="12.75" x14ac:dyDescent="0.2">
      <c r="A118" s="34" t="s">
        <v>161</v>
      </c>
      <c r="B118" s="15" t="s">
        <v>90</v>
      </c>
      <c r="C118" s="1" t="s">
        <v>15</v>
      </c>
      <c r="D118" s="21" t="s">
        <v>53</v>
      </c>
      <c r="E118" s="1" t="s">
        <v>189</v>
      </c>
      <c r="G118" s="36">
        <v>907</v>
      </c>
      <c r="H118" s="10">
        <v>7977.364453823483</v>
      </c>
      <c r="I118" s="10">
        <f t="shared" si="26"/>
        <v>7235469.5599999996</v>
      </c>
      <c r="J118" s="2">
        <f t="shared" si="22"/>
        <v>602955.80000000005</v>
      </c>
      <c r="K118" s="3">
        <f t="shared" si="23"/>
        <v>-6029.56</v>
      </c>
      <c r="L118" s="3">
        <f t="shared" si="24"/>
        <v>-18088.669999999998</v>
      </c>
      <c r="M118" s="3">
        <v>-63255.26</v>
      </c>
      <c r="N118" s="5">
        <f t="shared" si="25"/>
        <v>515582.30999999994</v>
      </c>
    </row>
    <row r="119" spans="1:14" ht="12.75" x14ac:dyDescent="0.2">
      <c r="A119" s="35" t="s">
        <v>157</v>
      </c>
      <c r="B119" s="13" t="s">
        <v>87</v>
      </c>
      <c r="C119" s="5" t="s">
        <v>87</v>
      </c>
      <c r="D119" s="21" t="s">
        <v>173</v>
      </c>
      <c r="E119" s="5" t="s">
        <v>190</v>
      </c>
      <c r="G119" s="36">
        <v>633.79999999999995</v>
      </c>
      <c r="H119" s="10">
        <v>7760.0841571334395</v>
      </c>
      <c r="I119" s="10">
        <f t="shared" si="26"/>
        <v>4918341.34</v>
      </c>
      <c r="J119" s="2">
        <f t="shared" si="22"/>
        <v>409861.78</v>
      </c>
      <c r="K119" s="3">
        <f t="shared" si="23"/>
        <v>-4098.62</v>
      </c>
      <c r="L119" s="3">
        <f t="shared" si="24"/>
        <v>-12295.85</v>
      </c>
      <c r="M119" s="3"/>
      <c r="N119" s="5">
        <f t="shared" si="25"/>
        <v>393467.31000000006</v>
      </c>
    </row>
    <row r="120" spans="1:14" ht="12.75" x14ac:dyDescent="0.2">
      <c r="A120" s="35" t="s">
        <v>157</v>
      </c>
      <c r="B120" s="13" t="s">
        <v>87</v>
      </c>
      <c r="C120" s="1" t="s">
        <v>87</v>
      </c>
      <c r="D120" s="22" t="s">
        <v>51</v>
      </c>
      <c r="E120" s="1" t="s">
        <v>191</v>
      </c>
      <c r="G120" s="36">
        <v>840</v>
      </c>
      <c r="H120" s="10">
        <v>7760.0841571334395</v>
      </c>
      <c r="I120" s="10">
        <f t="shared" si="26"/>
        <v>6518470.6900000004</v>
      </c>
      <c r="J120" s="2">
        <f t="shared" si="22"/>
        <v>543205.89</v>
      </c>
      <c r="K120" s="3">
        <f t="shared" si="23"/>
        <v>-5432.06</v>
      </c>
      <c r="L120" s="3">
        <f t="shared" si="24"/>
        <v>-16296.18</v>
      </c>
      <c r="M120" s="3">
        <v>-73961.25</v>
      </c>
      <c r="N120" s="5">
        <f t="shared" si="25"/>
        <v>447516.39999999997</v>
      </c>
    </row>
    <row r="121" spans="1:14" ht="12.75" x14ac:dyDescent="0.2">
      <c r="A121" s="35" t="s">
        <v>165</v>
      </c>
      <c r="B121" s="13" t="s">
        <v>91</v>
      </c>
      <c r="C121" s="7" t="s">
        <v>21</v>
      </c>
      <c r="D121" s="22" t="s">
        <v>61</v>
      </c>
      <c r="E121" s="7" t="s">
        <v>192</v>
      </c>
      <c r="G121" s="36">
        <v>192</v>
      </c>
      <c r="H121" s="10">
        <v>8011.8374864182242</v>
      </c>
      <c r="I121" s="10">
        <f t="shared" si="26"/>
        <v>1538272.8</v>
      </c>
      <c r="J121" s="2">
        <f t="shared" si="22"/>
        <v>128189.4</v>
      </c>
      <c r="K121" s="3">
        <f t="shared" si="23"/>
        <v>-1281.8900000000001</v>
      </c>
      <c r="L121" s="3">
        <f t="shared" si="24"/>
        <v>-3845.68</v>
      </c>
      <c r="M121" s="3"/>
      <c r="N121" s="5">
        <f t="shared" si="25"/>
        <v>123061.83</v>
      </c>
    </row>
    <row r="122" spans="1:14" ht="12.75" x14ac:dyDescent="0.2">
      <c r="A122" s="35" t="s">
        <v>165</v>
      </c>
      <c r="B122" s="13" t="s">
        <v>91</v>
      </c>
      <c r="C122" s="5" t="s">
        <v>21</v>
      </c>
      <c r="D122" s="21" t="s">
        <v>62</v>
      </c>
      <c r="E122" s="5" t="s">
        <v>23</v>
      </c>
      <c r="G122" s="36">
        <v>242.5</v>
      </c>
      <c r="H122" s="10">
        <v>8011.8374864182242</v>
      </c>
      <c r="I122" s="10">
        <f t="shared" si="26"/>
        <v>1942870.59</v>
      </c>
      <c r="J122" s="2">
        <f t="shared" si="22"/>
        <v>161905.88</v>
      </c>
      <c r="K122" s="3">
        <f t="shared" si="23"/>
        <v>-1619.06</v>
      </c>
      <c r="L122" s="3">
        <f t="shared" si="24"/>
        <v>-4857.18</v>
      </c>
      <c r="M122" s="3"/>
      <c r="N122" s="5">
        <f t="shared" si="25"/>
        <v>155429.64000000001</v>
      </c>
    </row>
    <row r="123" spans="1:14" ht="12.75" x14ac:dyDescent="0.2">
      <c r="A123" s="35" t="s">
        <v>158</v>
      </c>
      <c r="B123" s="13" t="s">
        <v>13</v>
      </c>
      <c r="C123" s="5" t="s">
        <v>13</v>
      </c>
      <c r="D123" s="21" t="s">
        <v>52</v>
      </c>
      <c r="E123" s="5" t="s">
        <v>193</v>
      </c>
      <c r="G123" s="36">
        <v>315</v>
      </c>
      <c r="H123" s="10">
        <v>8335.6055726040868</v>
      </c>
      <c r="I123" s="10">
        <f t="shared" si="26"/>
        <v>2625715.7599999998</v>
      </c>
      <c r="J123" s="2">
        <f t="shared" si="22"/>
        <v>218809.65</v>
      </c>
      <c r="K123" s="3">
        <f t="shared" si="23"/>
        <v>-2188.1</v>
      </c>
      <c r="L123" s="3">
        <f t="shared" si="24"/>
        <v>-6564.29</v>
      </c>
      <c r="M123" s="3"/>
      <c r="N123" s="5">
        <f t="shared" si="25"/>
        <v>210057.25999999998</v>
      </c>
    </row>
    <row r="124" spans="1:14" ht="12.75" x14ac:dyDescent="0.2">
      <c r="A124" s="35" t="s">
        <v>164</v>
      </c>
      <c r="B124" s="13" t="s">
        <v>84</v>
      </c>
      <c r="C124" s="1" t="s">
        <v>84</v>
      </c>
      <c r="D124" s="22" t="s">
        <v>96</v>
      </c>
      <c r="E124" s="1" t="s">
        <v>83</v>
      </c>
      <c r="G124" s="36">
        <v>689.64</v>
      </c>
      <c r="H124" s="10">
        <v>7890.111859375209</v>
      </c>
      <c r="I124" s="10">
        <f t="shared" si="26"/>
        <v>5441336.7400000002</v>
      </c>
      <c r="J124" s="2">
        <f t="shared" si="22"/>
        <v>453444.73</v>
      </c>
      <c r="K124" s="3">
        <f t="shared" si="23"/>
        <v>-4534.45</v>
      </c>
      <c r="L124" s="3">
        <f t="shared" si="24"/>
        <v>-13603.34</v>
      </c>
      <c r="M124" s="3">
        <v>-52789.46</v>
      </c>
      <c r="N124" s="5">
        <f t="shared" si="25"/>
        <v>382517.47999999992</v>
      </c>
    </row>
    <row r="125" spans="1:14" ht="12.75" x14ac:dyDescent="0.2">
      <c r="A125" s="35" t="s">
        <v>168</v>
      </c>
      <c r="B125" s="13" t="s">
        <v>88</v>
      </c>
      <c r="C125" s="1" t="s">
        <v>25</v>
      </c>
      <c r="D125" s="22" t="s">
        <v>65</v>
      </c>
      <c r="E125" s="1" t="s">
        <v>26</v>
      </c>
      <c r="G125" s="36">
        <v>864</v>
      </c>
      <c r="H125" s="10">
        <v>7661.9794243650758</v>
      </c>
      <c r="I125" s="10">
        <f t="shared" si="26"/>
        <v>6619950.2199999997</v>
      </c>
      <c r="J125" s="2">
        <f t="shared" si="22"/>
        <v>551662.52</v>
      </c>
      <c r="K125" s="3">
        <f t="shared" si="23"/>
        <v>-5516.63</v>
      </c>
      <c r="L125" s="3">
        <f t="shared" si="24"/>
        <v>-16549.88</v>
      </c>
      <c r="M125" s="3">
        <v>-110980.83</v>
      </c>
      <c r="N125" s="5">
        <f t="shared" si="25"/>
        <v>418615.18</v>
      </c>
    </row>
    <row r="126" spans="1:14" ht="12.75" x14ac:dyDescent="0.2">
      <c r="A126" s="35" t="s">
        <v>168</v>
      </c>
      <c r="B126" s="13" t="s">
        <v>88</v>
      </c>
      <c r="C126" s="1" t="s">
        <v>25</v>
      </c>
      <c r="D126" s="22" t="s">
        <v>81</v>
      </c>
      <c r="E126" s="1" t="s">
        <v>194</v>
      </c>
      <c r="G126" s="36">
        <v>61</v>
      </c>
      <c r="H126" s="10">
        <v>7661.9794243650758</v>
      </c>
      <c r="I126" s="10">
        <f t="shared" si="26"/>
        <v>467380.74</v>
      </c>
      <c r="J126" s="2">
        <f t="shared" si="22"/>
        <v>38948.400000000001</v>
      </c>
      <c r="K126" s="3">
        <f t="shared" si="23"/>
        <v>-389.48</v>
      </c>
      <c r="L126" s="3">
        <f t="shared" si="24"/>
        <v>-1168.45</v>
      </c>
      <c r="M126" s="3"/>
      <c r="N126" s="5">
        <f t="shared" si="25"/>
        <v>37390.47</v>
      </c>
    </row>
    <row r="127" spans="1:14" ht="12.75" x14ac:dyDescent="0.2">
      <c r="A127" s="35" t="s">
        <v>166</v>
      </c>
      <c r="B127" s="13" t="s">
        <v>92</v>
      </c>
      <c r="C127" s="1" t="s">
        <v>24</v>
      </c>
      <c r="D127" s="22" t="s">
        <v>63</v>
      </c>
      <c r="E127" s="1" t="s">
        <v>195</v>
      </c>
      <c r="G127" s="36">
        <v>195.24</v>
      </c>
      <c r="H127" s="10">
        <v>7662.0914110189869</v>
      </c>
      <c r="I127" s="10">
        <f t="shared" si="26"/>
        <v>1495946.73</v>
      </c>
      <c r="J127" s="2">
        <f t="shared" si="22"/>
        <v>124662.23</v>
      </c>
      <c r="K127" s="3">
        <f t="shared" si="23"/>
        <v>-1246.6199999999999</v>
      </c>
      <c r="L127" s="3">
        <f t="shared" si="24"/>
        <v>-3739.87</v>
      </c>
      <c r="M127" s="3"/>
      <c r="N127" s="5">
        <f t="shared" si="25"/>
        <v>119675.74</v>
      </c>
    </row>
    <row r="128" spans="1:14" ht="12.75" x14ac:dyDescent="0.2">
      <c r="A128" s="35" t="s">
        <v>166</v>
      </c>
      <c r="B128" s="13" t="s">
        <v>92</v>
      </c>
      <c r="C128" s="1" t="s">
        <v>24</v>
      </c>
      <c r="D128" s="22" t="s">
        <v>174</v>
      </c>
      <c r="E128" s="1" t="s">
        <v>196</v>
      </c>
      <c r="G128" s="36">
        <v>225</v>
      </c>
      <c r="H128" s="10">
        <v>7662.0914110189869</v>
      </c>
      <c r="I128" s="10">
        <f t="shared" si="26"/>
        <v>1723970.57</v>
      </c>
      <c r="J128" s="2">
        <f t="shared" si="22"/>
        <v>143664.21</v>
      </c>
      <c r="K128" s="3">
        <f t="shared" si="23"/>
        <v>-1436.64</v>
      </c>
      <c r="L128" s="3">
        <f t="shared" si="24"/>
        <v>-4309.93</v>
      </c>
      <c r="M128" s="3"/>
      <c r="N128" s="5">
        <f t="shared" si="25"/>
        <v>137917.63999999998</v>
      </c>
    </row>
    <row r="129" spans="1:14" ht="12.75" x14ac:dyDescent="0.2">
      <c r="A129" s="35" t="s">
        <v>166</v>
      </c>
      <c r="B129" s="13" t="s">
        <v>92</v>
      </c>
      <c r="C129" s="1" t="s">
        <v>24</v>
      </c>
      <c r="D129" s="22" t="s">
        <v>115</v>
      </c>
      <c r="E129" s="1" t="s">
        <v>120</v>
      </c>
      <c r="G129" s="36">
        <v>166</v>
      </c>
      <c r="H129" s="10">
        <v>7662.0914110189869</v>
      </c>
      <c r="I129" s="10">
        <f t="shared" si="26"/>
        <v>1271907.17</v>
      </c>
      <c r="J129" s="2">
        <f t="shared" si="22"/>
        <v>105992.26</v>
      </c>
      <c r="K129" s="3">
        <f t="shared" si="23"/>
        <v>-1059.92</v>
      </c>
      <c r="L129" s="3">
        <f t="shared" si="24"/>
        <v>-3179.77</v>
      </c>
      <c r="M129" s="3"/>
      <c r="N129" s="5">
        <f t="shared" si="25"/>
        <v>101752.56999999999</v>
      </c>
    </row>
    <row r="130" spans="1:14" ht="12.75" x14ac:dyDescent="0.2">
      <c r="A130" s="35" t="s">
        <v>166</v>
      </c>
      <c r="B130" s="13" t="s">
        <v>92</v>
      </c>
      <c r="C130" s="1" t="s">
        <v>24</v>
      </c>
      <c r="D130" s="22" t="s">
        <v>117</v>
      </c>
      <c r="E130" s="1" t="s">
        <v>197</v>
      </c>
      <c r="G130" s="36">
        <v>234.5</v>
      </c>
      <c r="H130" s="10">
        <v>7662.0914110189869</v>
      </c>
      <c r="I130" s="10">
        <f t="shared" si="26"/>
        <v>1796760.44</v>
      </c>
      <c r="J130" s="2">
        <f t="shared" si="22"/>
        <v>149730.04</v>
      </c>
      <c r="K130" s="3">
        <f t="shared" si="23"/>
        <v>-1497.3</v>
      </c>
      <c r="L130" s="3">
        <f t="shared" si="24"/>
        <v>-4491.8999999999996</v>
      </c>
      <c r="M130" s="3"/>
      <c r="N130" s="5">
        <f t="shared" si="25"/>
        <v>143740.84000000003</v>
      </c>
    </row>
    <row r="131" spans="1:14" ht="12.75" x14ac:dyDescent="0.2">
      <c r="A131" s="35" t="s">
        <v>166</v>
      </c>
      <c r="B131" s="13" t="s">
        <v>92</v>
      </c>
      <c r="C131" s="1" t="s">
        <v>24</v>
      </c>
      <c r="D131" s="22" t="s">
        <v>64</v>
      </c>
      <c r="E131" s="1" t="s">
        <v>198</v>
      </c>
      <c r="G131" s="36">
        <v>1305</v>
      </c>
      <c r="H131" s="10">
        <v>7662.0914110189869</v>
      </c>
      <c r="I131" s="10">
        <f t="shared" si="26"/>
        <v>9999029.2899999991</v>
      </c>
      <c r="J131" s="2">
        <f t="shared" si="22"/>
        <v>833252.44</v>
      </c>
      <c r="K131" s="3">
        <f t="shared" si="23"/>
        <v>-8332.52</v>
      </c>
      <c r="L131" s="3">
        <f t="shared" si="24"/>
        <v>-24997.57</v>
      </c>
      <c r="M131" s="3">
        <v>-160915</v>
      </c>
      <c r="N131" s="5">
        <f t="shared" si="25"/>
        <v>639007.35</v>
      </c>
    </row>
    <row r="132" spans="1:14" ht="12.75" x14ac:dyDescent="0.2">
      <c r="A132" s="35" t="s">
        <v>166</v>
      </c>
      <c r="B132" s="13" t="s">
        <v>92</v>
      </c>
      <c r="C132" s="1" t="s">
        <v>24</v>
      </c>
      <c r="D132" s="22" t="s">
        <v>116</v>
      </c>
      <c r="E132" s="1" t="s">
        <v>199</v>
      </c>
      <c r="G132" s="36">
        <v>100</v>
      </c>
      <c r="H132" s="10">
        <v>7662.0914110189869</v>
      </c>
      <c r="I132" s="10">
        <f t="shared" si="26"/>
        <v>766209.14</v>
      </c>
      <c r="J132" s="2">
        <f t="shared" si="22"/>
        <v>63850.76</v>
      </c>
      <c r="K132" s="3">
        <f t="shared" si="23"/>
        <v>-638.51</v>
      </c>
      <c r="L132" s="3">
        <f t="shared" si="24"/>
        <v>-1915.52</v>
      </c>
      <c r="M132" s="3"/>
      <c r="N132" s="5">
        <f t="shared" si="25"/>
        <v>61296.73</v>
      </c>
    </row>
    <row r="133" spans="1:14" ht="12.75" x14ac:dyDescent="0.2">
      <c r="A133" s="35" t="s">
        <v>162</v>
      </c>
      <c r="B133" s="13" t="s">
        <v>93</v>
      </c>
      <c r="C133" s="5" t="s">
        <v>19</v>
      </c>
      <c r="D133" s="21" t="s">
        <v>59</v>
      </c>
      <c r="E133" s="5" t="s">
        <v>200</v>
      </c>
      <c r="G133" s="36">
        <v>300</v>
      </c>
      <c r="H133" s="10">
        <v>8343.713781491635</v>
      </c>
      <c r="I133" s="10">
        <f t="shared" si="26"/>
        <v>2503114.13</v>
      </c>
      <c r="J133" s="2">
        <f t="shared" si="22"/>
        <v>208592.84</v>
      </c>
      <c r="K133" s="3">
        <f t="shared" si="23"/>
        <v>-2085.9299999999998</v>
      </c>
      <c r="L133" s="3">
        <f t="shared" si="24"/>
        <v>-6257.79</v>
      </c>
      <c r="M133" s="3"/>
      <c r="N133" s="5">
        <f t="shared" si="25"/>
        <v>200249.12</v>
      </c>
    </row>
    <row r="134" spans="1:14" ht="12.75" x14ac:dyDescent="0.2">
      <c r="A134" s="35" t="s">
        <v>162</v>
      </c>
      <c r="B134" s="13" t="s">
        <v>93</v>
      </c>
      <c r="C134" s="7" t="s">
        <v>19</v>
      </c>
      <c r="D134" s="22" t="s">
        <v>60</v>
      </c>
      <c r="E134" s="7" t="s">
        <v>201</v>
      </c>
      <c r="G134" s="36">
        <v>363</v>
      </c>
      <c r="H134" s="10">
        <v>8343.713781491635</v>
      </c>
      <c r="I134" s="10">
        <f t="shared" si="26"/>
        <v>3028768.1</v>
      </c>
      <c r="J134" s="2">
        <f t="shared" si="22"/>
        <v>252397.34</v>
      </c>
      <c r="K134" s="3">
        <f t="shared" si="23"/>
        <v>-2523.9699999999998</v>
      </c>
      <c r="L134" s="3">
        <f t="shared" si="24"/>
        <v>-7571.92</v>
      </c>
      <c r="M134" s="3">
        <v>-42338.770000000004</v>
      </c>
      <c r="N134" s="5">
        <f t="shared" si="25"/>
        <v>199962.68</v>
      </c>
    </row>
    <row r="135" spans="1:14" ht="12.75" x14ac:dyDescent="0.2">
      <c r="A135" s="35" t="s">
        <v>156</v>
      </c>
      <c r="B135" s="13" t="s">
        <v>94</v>
      </c>
      <c r="C135" s="5" t="s">
        <v>40</v>
      </c>
      <c r="D135" s="21" t="s">
        <v>82</v>
      </c>
      <c r="E135" s="5" t="s">
        <v>202</v>
      </c>
      <c r="G135" s="36">
        <v>86</v>
      </c>
      <c r="H135" s="10">
        <v>7939.791327137541</v>
      </c>
      <c r="I135" s="10">
        <f t="shared" si="26"/>
        <v>682822.05</v>
      </c>
      <c r="J135" s="2">
        <f t="shared" si="22"/>
        <v>56901.84</v>
      </c>
      <c r="K135" s="3">
        <f t="shared" si="23"/>
        <v>-569.02</v>
      </c>
      <c r="L135" s="3">
        <f t="shared" si="24"/>
        <v>-1707.06</v>
      </c>
      <c r="M135" s="3"/>
      <c r="N135" s="5">
        <f t="shared" si="25"/>
        <v>54625.760000000002</v>
      </c>
    </row>
    <row r="136" spans="1:14" ht="12.75" x14ac:dyDescent="0.2">
      <c r="A136" s="35" t="s">
        <v>169</v>
      </c>
      <c r="B136" s="13" t="s">
        <v>95</v>
      </c>
      <c r="C136" s="5" t="s">
        <v>175</v>
      </c>
      <c r="D136" s="21" t="s">
        <v>74</v>
      </c>
      <c r="E136" s="5" t="s">
        <v>203</v>
      </c>
      <c r="G136" s="36">
        <v>133</v>
      </c>
      <c r="H136" s="10">
        <v>7996.3401805053491</v>
      </c>
      <c r="I136" s="10">
        <f t="shared" si="26"/>
        <v>1063513.24</v>
      </c>
      <c r="J136" s="2">
        <f t="shared" si="22"/>
        <v>88626.1</v>
      </c>
      <c r="K136" s="3">
        <f t="shared" si="23"/>
        <v>-886.26</v>
      </c>
      <c r="L136" s="3">
        <f t="shared" si="24"/>
        <v>-2658.78</v>
      </c>
      <c r="M136" s="3"/>
      <c r="N136" s="5">
        <f t="shared" si="25"/>
        <v>85081.060000000012</v>
      </c>
    </row>
    <row r="137" spans="1:14" ht="12.75" x14ac:dyDescent="0.2">
      <c r="A137" s="35" t="s">
        <v>152</v>
      </c>
      <c r="B137" s="13" t="s">
        <v>86</v>
      </c>
      <c r="C137" s="5" t="s">
        <v>176</v>
      </c>
      <c r="D137" s="21" t="s">
        <v>67</v>
      </c>
      <c r="E137" s="5" t="s">
        <v>204</v>
      </c>
      <c r="G137" s="36">
        <v>470</v>
      </c>
      <c r="H137" s="10">
        <v>8563.2744493222235</v>
      </c>
      <c r="I137" s="10">
        <f t="shared" si="26"/>
        <v>4024738.99</v>
      </c>
      <c r="J137" s="2">
        <f t="shared" si="22"/>
        <v>335394.92</v>
      </c>
      <c r="K137" s="3">
        <f t="shared" si="23"/>
        <v>-3353.95</v>
      </c>
      <c r="L137" s="3">
        <f t="shared" si="24"/>
        <v>-10061.85</v>
      </c>
      <c r="M137" s="3">
        <v>-30684.06</v>
      </c>
      <c r="N137" s="5">
        <f t="shared" si="25"/>
        <v>291295.06</v>
      </c>
    </row>
    <row r="138" spans="1:14" x14ac:dyDescent="0.25">
      <c r="A138" s="35" t="s">
        <v>152</v>
      </c>
      <c r="B138" s="13" t="s">
        <v>86</v>
      </c>
      <c r="C138" s="6" t="s">
        <v>176</v>
      </c>
      <c r="D138" t="s">
        <v>47</v>
      </c>
      <c r="E138" s="6" t="s">
        <v>205</v>
      </c>
      <c r="G138" s="36">
        <v>310</v>
      </c>
      <c r="H138" s="10">
        <v>8563.2744493222235</v>
      </c>
      <c r="I138" s="10">
        <f t="shared" si="26"/>
        <v>2654615.08</v>
      </c>
      <c r="J138" s="2">
        <f t="shared" si="22"/>
        <v>221217.92000000001</v>
      </c>
      <c r="K138" s="3">
        <f t="shared" si="23"/>
        <v>-2212.1799999999998</v>
      </c>
      <c r="L138" s="3">
        <f t="shared" si="24"/>
        <v>-6636.54</v>
      </c>
      <c r="M138" s="3">
        <v>-42638.53</v>
      </c>
      <c r="N138" s="5">
        <f t="shared" si="25"/>
        <v>169730.67</v>
      </c>
    </row>
    <row r="139" spans="1:14" x14ac:dyDescent="0.25">
      <c r="A139" s="35" t="s">
        <v>152</v>
      </c>
      <c r="B139" s="13" t="s">
        <v>86</v>
      </c>
      <c r="C139" s="8" t="s">
        <v>176</v>
      </c>
      <c r="D139" t="s">
        <v>48</v>
      </c>
      <c r="E139" s="8" t="s">
        <v>206</v>
      </c>
      <c r="G139" s="36">
        <v>257.10000000000002</v>
      </c>
      <c r="H139" s="10">
        <v>8563.2744493222235</v>
      </c>
      <c r="I139" s="10">
        <f t="shared" si="26"/>
        <v>2201617.86</v>
      </c>
      <c r="J139" s="2">
        <f t="shared" si="22"/>
        <v>183468.16</v>
      </c>
      <c r="K139" s="3">
        <f t="shared" si="23"/>
        <v>-1834.68</v>
      </c>
      <c r="L139" s="3">
        <f t="shared" si="24"/>
        <v>-5504.04</v>
      </c>
      <c r="M139" s="3"/>
      <c r="N139" s="5">
        <f t="shared" si="25"/>
        <v>176129.44</v>
      </c>
    </row>
    <row r="140" spans="1:14" x14ac:dyDescent="0.25">
      <c r="G140" s="9"/>
      <c r="H140" s="6"/>
      <c r="I140" s="6"/>
      <c r="J140" s="6"/>
      <c r="K140" s="6"/>
      <c r="L140" s="6"/>
      <c r="M140" s="6"/>
      <c r="N140" s="6"/>
    </row>
    <row r="141" spans="1:14" x14ac:dyDescent="0.25">
      <c r="G141" s="16">
        <f>SUM(G100:G140)</f>
        <v>19037.5</v>
      </c>
      <c r="H141" s="8"/>
      <c r="I141" s="16">
        <f t="shared" ref="I141:N141" si="27">SUM(I100:I140)</f>
        <v>152169644.90000004</v>
      </c>
      <c r="J141" s="16">
        <f t="shared" si="27"/>
        <v>12680803.76</v>
      </c>
      <c r="K141" s="8">
        <f t="shared" si="27"/>
        <v>-126808.02999999996</v>
      </c>
      <c r="L141" s="8">
        <f t="shared" si="27"/>
        <v>-380424.13</v>
      </c>
      <c r="M141" s="8">
        <f t="shared" si="27"/>
        <v>-1426124.58</v>
      </c>
      <c r="N141" s="16">
        <f t="shared" si="27"/>
        <v>10747447.02</v>
      </c>
    </row>
    <row r="142" spans="1:14" x14ac:dyDescent="0.25">
      <c r="J142" s="16"/>
      <c r="L142" s="8">
        <f>K141+L141</f>
        <v>-507232.16</v>
      </c>
    </row>
    <row r="145" spans="1:14" ht="12.75" x14ac:dyDescent="0.2">
      <c r="A145" s="17" t="s">
        <v>170</v>
      </c>
      <c r="B145" s="17"/>
      <c r="C145" s="11"/>
      <c r="D145" s="11"/>
      <c r="E145" s="17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1:14" ht="63.75" x14ac:dyDescent="0.2">
      <c r="A146" s="20" t="s">
        <v>209</v>
      </c>
      <c r="B146" s="20"/>
      <c r="C146" s="11"/>
      <c r="D146" s="11" t="s">
        <v>38</v>
      </c>
      <c r="E146" s="17" t="s">
        <v>39</v>
      </c>
      <c r="F146" s="12"/>
      <c r="G146" s="23" t="s">
        <v>0</v>
      </c>
      <c r="H146" s="23" t="s">
        <v>1</v>
      </c>
      <c r="I146" s="23" t="s">
        <v>2</v>
      </c>
      <c r="J146" s="23" t="s">
        <v>3</v>
      </c>
      <c r="K146" s="23" t="s">
        <v>4</v>
      </c>
      <c r="L146" s="23" t="s">
        <v>5</v>
      </c>
      <c r="M146" s="23" t="s">
        <v>28</v>
      </c>
      <c r="N146" s="23" t="s">
        <v>6</v>
      </c>
    </row>
    <row r="147" spans="1:14" x14ac:dyDescent="0.25">
      <c r="C147" s="6"/>
      <c r="E147" s="6"/>
      <c r="F147" s="6"/>
      <c r="G147" s="14"/>
      <c r="H147" s="10"/>
      <c r="I147" s="10"/>
      <c r="J147" s="10"/>
      <c r="K147" s="10"/>
      <c r="L147" s="10"/>
      <c r="M147" s="10"/>
      <c r="N147" s="5"/>
    </row>
    <row r="148" spans="1:14" ht="12.75" x14ac:dyDescent="0.2">
      <c r="A148" s="35" t="s">
        <v>142</v>
      </c>
      <c r="B148" s="13" t="s">
        <v>86</v>
      </c>
      <c r="C148" s="1" t="s">
        <v>172</v>
      </c>
      <c r="D148" s="21" t="s">
        <v>44</v>
      </c>
      <c r="E148" s="1" t="s">
        <v>177</v>
      </c>
      <c r="G148" s="36">
        <v>1839</v>
      </c>
      <c r="H148" s="10">
        <v>7890.8685587645041</v>
      </c>
      <c r="I148" s="10">
        <f>ROUND(G148*H148,2)</f>
        <v>14511307.279999999</v>
      </c>
      <c r="J148" s="2">
        <f t="shared" ref="J148:J187" si="28">ROUND(I148/12,2)</f>
        <v>1209275.6100000001</v>
      </c>
      <c r="K148" s="3"/>
      <c r="L148" s="3">
        <f t="shared" ref="L148:L187" si="29">ROUND(I148*-0.03/12,2)</f>
        <v>-36278.269999999997</v>
      </c>
      <c r="M148" s="3">
        <v>-95728.75</v>
      </c>
      <c r="N148" s="5">
        <f t="shared" ref="N148:N187" si="30">J148+K148+L148+M148</f>
        <v>1077268.5900000001</v>
      </c>
    </row>
    <row r="149" spans="1:14" ht="12.75" x14ac:dyDescent="0.2">
      <c r="A149" s="35" t="s">
        <v>142</v>
      </c>
      <c r="B149" s="13" t="s">
        <v>86</v>
      </c>
      <c r="C149" s="5" t="s">
        <v>172</v>
      </c>
      <c r="D149" s="21" t="s">
        <v>68</v>
      </c>
      <c r="E149" s="5" t="s">
        <v>178</v>
      </c>
      <c r="G149" s="36">
        <v>845</v>
      </c>
      <c r="H149" s="10">
        <v>7890.8685587645041</v>
      </c>
      <c r="I149" s="10">
        <f t="shared" ref="I149:I187" si="31">ROUND(G149*H149,2)</f>
        <v>6667783.9299999997</v>
      </c>
      <c r="J149" s="2">
        <f t="shared" si="28"/>
        <v>555648.66</v>
      </c>
      <c r="K149" s="3"/>
      <c r="L149" s="3">
        <f t="shared" si="29"/>
        <v>-16669.46</v>
      </c>
      <c r="M149" s="3">
        <v>-32574.17</v>
      </c>
      <c r="N149" s="5">
        <f t="shared" si="30"/>
        <v>506405.03000000009</v>
      </c>
    </row>
    <row r="150" spans="1:14" ht="12.75" x14ac:dyDescent="0.2">
      <c r="A150" s="35" t="s">
        <v>142</v>
      </c>
      <c r="B150" s="13" t="s">
        <v>86</v>
      </c>
      <c r="C150" s="1" t="s">
        <v>172</v>
      </c>
      <c r="D150" s="22" t="s">
        <v>146</v>
      </c>
      <c r="E150" s="1" t="s">
        <v>179</v>
      </c>
      <c r="G150" s="36">
        <v>2001</v>
      </c>
      <c r="H150" s="10">
        <v>7890.8685587645041</v>
      </c>
      <c r="I150" s="10">
        <f t="shared" si="31"/>
        <v>15789627.99</v>
      </c>
      <c r="J150" s="2">
        <f t="shared" si="28"/>
        <v>1315802.33</v>
      </c>
      <c r="K150" s="3"/>
      <c r="L150" s="3">
        <f t="shared" si="29"/>
        <v>-39474.07</v>
      </c>
      <c r="M150" s="3">
        <v>-187836.66999999998</v>
      </c>
      <c r="N150" s="5">
        <f t="shared" si="30"/>
        <v>1088491.5900000001</v>
      </c>
    </row>
    <row r="151" spans="1:14" ht="12.75" x14ac:dyDescent="0.2">
      <c r="A151" s="35" t="s">
        <v>153</v>
      </c>
      <c r="B151" s="13" t="s">
        <v>89</v>
      </c>
      <c r="C151" s="5" t="s">
        <v>29</v>
      </c>
      <c r="D151" s="21" t="s">
        <v>80</v>
      </c>
      <c r="E151" s="5" t="s">
        <v>180</v>
      </c>
      <c r="G151" s="36">
        <v>375</v>
      </c>
      <c r="H151" s="10">
        <v>8714.1967120380505</v>
      </c>
      <c r="I151" s="10">
        <f t="shared" si="31"/>
        <v>3267823.77</v>
      </c>
      <c r="J151" s="2">
        <f t="shared" si="28"/>
        <v>272318.65000000002</v>
      </c>
      <c r="K151" s="3"/>
      <c r="L151" s="3">
        <f t="shared" si="29"/>
        <v>-8169.56</v>
      </c>
      <c r="M151" s="3">
        <v>-98004.89</v>
      </c>
      <c r="N151" s="5">
        <f t="shared" si="30"/>
        <v>166144.20000000001</v>
      </c>
    </row>
    <row r="152" spans="1:14" ht="12.75" x14ac:dyDescent="0.2">
      <c r="A152" s="35" t="s">
        <v>153</v>
      </c>
      <c r="B152" s="13" t="s">
        <v>89</v>
      </c>
      <c r="C152" s="5" t="s">
        <v>29</v>
      </c>
      <c r="D152" s="21" t="s">
        <v>49</v>
      </c>
      <c r="E152" s="5" t="s">
        <v>181</v>
      </c>
      <c r="G152" s="36">
        <v>322</v>
      </c>
      <c r="H152" s="10">
        <v>8714.1967120380505</v>
      </c>
      <c r="I152" s="10">
        <f t="shared" si="31"/>
        <v>2805971.34</v>
      </c>
      <c r="J152" s="2">
        <f t="shared" si="28"/>
        <v>233830.95</v>
      </c>
      <c r="K152" s="3"/>
      <c r="L152" s="3">
        <f t="shared" si="29"/>
        <v>-7014.93</v>
      </c>
      <c r="M152" s="3"/>
      <c r="N152" s="5">
        <f t="shared" si="30"/>
        <v>226816.02000000002</v>
      </c>
    </row>
    <row r="153" spans="1:14" ht="12.75" x14ac:dyDescent="0.2">
      <c r="A153" s="34" t="s">
        <v>153</v>
      </c>
      <c r="B153" s="13" t="s">
        <v>89</v>
      </c>
      <c r="C153" s="5" t="s">
        <v>29</v>
      </c>
      <c r="D153" s="21" t="s">
        <v>50</v>
      </c>
      <c r="E153" s="5" t="s">
        <v>182</v>
      </c>
      <c r="F153" s="15"/>
      <c r="G153" s="36">
        <v>270.10000000000002</v>
      </c>
      <c r="H153" s="10">
        <v>8714.1967120380505</v>
      </c>
      <c r="I153" s="10">
        <f t="shared" si="31"/>
        <v>2353704.5299999998</v>
      </c>
      <c r="J153" s="2">
        <f t="shared" si="28"/>
        <v>196142.04</v>
      </c>
      <c r="K153" s="3"/>
      <c r="L153" s="3">
        <f t="shared" si="29"/>
        <v>-5884.26</v>
      </c>
      <c r="M153" s="3"/>
      <c r="N153" s="5">
        <f t="shared" si="30"/>
        <v>190257.78</v>
      </c>
    </row>
    <row r="154" spans="1:14" ht="12.75" x14ac:dyDescent="0.2">
      <c r="A154" s="34" t="s">
        <v>153</v>
      </c>
      <c r="B154" s="13" t="s">
        <v>89</v>
      </c>
      <c r="C154" s="5" t="s">
        <v>29</v>
      </c>
      <c r="D154" s="21" t="s">
        <v>97</v>
      </c>
      <c r="E154" s="5" t="s">
        <v>183</v>
      </c>
      <c r="F154" s="15"/>
      <c r="G154" s="36">
        <v>101</v>
      </c>
      <c r="H154" s="10">
        <v>8714.1967120380505</v>
      </c>
      <c r="I154" s="10">
        <f t="shared" si="31"/>
        <v>880133.87</v>
      </c>
      <c r="J154" s="2">
        <f t="shared" si="28"/>
        <v>73344.490000000005</v>
      </c>
      <c r="K154" s="3"/>
      <c r="L154" s="3">
        <f t="shared" si="29"/>
        <v>-2200.33</v>
      </c>
      <c r="M154" s="3"/>
      <c r="N154" s="5">
        <f t="shared" si="30"/>
        <v>71144.160000000003</v>
      </c>
    </row>
    <row r="155" spans="1:14" ht="12.75" x14ac:dyDescent="0.2">
      <c r="A155" s="34" t="s">
        <v>151</v>
      </c>
      <c r="B155" s="13" t="s">
        <v>86</v>
      </c>
      <c r="C155" s="1" t="s">
        <v>85</v>
      </c>
      <c r="D155" s="22" t="s">
        <v>46</v>
      </c>
      <c r="E155" s="4" t="s">
        <v>184</v>
      </c>
      <c r="F155" s="15"/>
      <c r="G155" s="36">
        <v>685</v>
      </c>
      <c r="H155" s="10">
        <v>7792.632667540046</v>
      </c>
      <c r="I155" s="10">
        <f t="shared" si="31"/>
        <v>5337953.38</v>
      </c>
      <c r="J155" s="2">
        <f t="shared" si="28"/>
        <v>444829.45</v>
      </c>
      <c r="K155" s="3"/>
      <c r="L155" s="3">
        <f t="shared" si="29"/>
        <v>-13344.88</v>
      </c>
      <c r="M155" s="3">
        <v>-68529.38</v>
      </c>
      <c r="N155" s="5">
        <f t="shared" si="30"/>
        <v>362955.19</v>
      </c>
    </row>
    <row r="156" spans="1:14" ht="12.75" x14ac:dyDescent="0.2">
      <c r="A156" s="34" t="s">
        <v>147</v>
      </c>
      <c r="B156" s="13" t="s">
        <v>86</v>
      </c>
      <c r="C156" s="5" t="s">
        <v>8</v>
      </c>
      <c r="D156" s="21" t="s">
        <v>45</v>
      </c>
      <c r="E156" s="18" t="s">
        <v>185</v>
      </c>
      <c r="F156" s="15"/>
      <c r="G156" s="36">
        <v>750</v>
      </c>
      <c r="H156" s="10">
        <v>8566.0669376956666</v>
      </c>
      <c r="I156" s="10">
        <f t="shared" si="31"/>
        <v>6424550.2000000002</v>
      </c>
      <c r="J156" s="2">
        <f t="shared" si="28"/>
        <v>535379.18000000005</v>
      </c>
      <c r="K156" s="3"/>
      <c r="L156" s="3">
        <f t="shared" si="29"/>
        <v>-16061.38</v>
      </c>
      <c r="M156" s="3">
        <v>-159448.34</v>
      </c>
      <c r="N156" s="5">
        <f t="shared" si="30"/>
        <v>359869.46000000008</v>
      </c>
    </row>
    <row r="157" spans="1:14" ht="12.75" x14ac:dyDescent="0.2">
      <c r="A157" s="34" t="s">
        <v>161</v>
      </c>
      <c r="B157" s="15" t="s">
        <v>90</v>
      </c>
      <c r="C157" s="5" t="s">
        <v>15</v>
      </c>
      <c r="D157" s="21" t="s">
        <v>55</v>
      </c>
      <c r="E157" s="5" t="s">
        <v>186</v>
      </c>
      <c r="F157" s="15"/>
      <c r="G157" s="36">
        <v>550</v>
      </c>
      <c r="H157" s="10">
        <v>7977.364453823483</v>
      </c>
      <c r="I157" s="10">
        <f t="shared" si="31"/>
        <v>4387550.45</v>
      </c>
      <c r="J157" s="2">
        <f t="shared" si="28"/>
        <v>365629.2</v>
      </c>
      <c r="K157" s="3"/>
      <c r="L157" s="3">
        <f t="shared" si="29"/>
        <v>-10968.88</v>
      </c>
      <c r="M157" s="3">
        <v>-146415.41999999998</v>
      </c>
      <c r="N157" s="5">
        <f t="shared" si="30"/>
        <v>208244.90000000002</v>
      </c>
    </row>
    <row r="158" spans="1:14" ht="12.75" x14ac:dyDescent="0.2">
      <c r="A158" s="34" t="s">
        <v>161</v>
      </c>
      <c r="B158" s="15" t="s">
        <v>90</v>
      </c>
      <c r="C158" s="5" t="s">
        <v>15</v>
      </c>
      <c r="D158" s="21" t="s">
        <v>56</v>
      </c>
      <c r="E158" s="5" t="s">
        <v>187</v>
      </c>
      <c r="F158" s="15"/>
      <c r="G158" s="36">
        <v>239</v>
      </c>
      <c r="H158" s="10">
        <v>7977.364453823483</v>
      </c>
      <c r="I158" s="10">
        <f t="shared" si="31"/>
        <v>1906590.1</v>
      </c>
      <c r="J158" s="2">
        <f t="shared" si="28"/>
        <v>158882.51</v>
      </c>
      <c r="K158" s="3"/>
      <c r="L158" s="3">
        <f t="shared" si="29"/>
        <v>-4766.4799999999996</v>
      </c>
      <c r="M158" s="3"/>
      <c r="N158" s="5">
        <f t="shared" si="30"/>
        <v>154116.03</v>
      </c>
    </row>
    <row r="159" spans="1:14" ht="12.75" x14ac:dyDescent="0.2">
      <c r="A159" s="34" t="s">
        <v>161</v>
      </c>
      <c r="B159" s="15" t="s">
        <v>90</v>
      </c>
      <c r="C159" s="1" t="s">
        <v>15</v>
      </c>
      <c r="D159" s="22" t="s">
        <v>79</v>
      </c>
      <c r="E159" s="1" t="s">
        <v>77</v>
      </c>
      <c r="F159" s="15"/>
      <c r="G159" s="36">
        <v>590</v>
      </c>
      <c r="H159" s="10">
        <v>7977.364453823483</v>
      </c>
      <c r="I159" s="10">
        <f t="shared" si="31"/>
        <v>4706645.03</v>
      </c>
      <c r="J159" s="2">
        <f t="shared" si="28"/>
        <v>392220.42</v>
      </c>
      <c r="K159" s="3"/>
      <c r="L159" s="3">
        <f t="shared" si="29"/>
        <v>-11766.61</v>
      </c>
      <c r="M159" s="3"/>
      <c r="N159" s="5">
        <f t="shared" si="30"/>
        <v>380453.81</v>
      </c>
    </row>
    <row r="160" spans="1:14" ht="12.75" x14ac:dyDescent="0.2">
      <c r="A160" s="34" t="s">
        <v>161</v>
      </c>
      <c r="B160" s="15" t="s">
        <v>90</v>
      </c>
      <c r="C160" s="1" t="s">
        <v>15</v>
      </c>
      <c r="D160" s="22" t="s">
        <v>54</v>
      </c>
      <c r="E160" s="1" t="s">
        <v>17</v>
      </c>
      <c r="F160" s="15"/>
      <c r="G160" s="36">
        <v>404</v>
      </c>
      <c r="H160" s="10">
        <v>7977.364453823483</v>
      </c>
      <c r="I160" s="10">
        <f t="shared" si="31"/>
        <v>3222855.24</v>
      </c>
      <c r="J160" s="2">
        <f t="shared" si="28"/>
        <v>268571.27</v>
      </c>
      <c r="K160" s="3"/>
      <c r="L160" s="3">
        <f t="shared" si="29"/>
        <v>-8057.14</v>
      </c>
      <c r="M160" s="3">
        <v>-42500</v>
      </c>
      <c r="N160" s="5">
        <f t="shared" si="30"/>
        <v>218014.13</v>
      </c>
    </row>
    <row r="161" spans="1:14" ht="12.75" x14ac:dyDescent="0.2">
      <c r="A161" s="34" t="s">
        <v>161</v>
      </c>
      <c r="B161" s="15" t="s">
        <v>90</v>
      </c>
      <c r="C161" s="1" t="s">
        <v>15</v>
      </c>
      <c r="D161" s="22" t="s">
        <v>114</v>
      </c>
      <c r="E161" s="1" t="s">
        <v>124</v>
      </c>
      <c r="F161" s="15"/>
      <c r="G161" s="36">
        <v>192</v>
      </c>
      <c r="H161" s="10">
        <v>7977.364453823483</v>
      </c>
      <c r="I161" s="10">
        <f t="shared" si="31"/>
        <v>1531653.98</v>
      </c>
      <c r="J161" s="2">
        <f t="shared" si="28"/>
        <v>127637.83</v>
      </c>
      <c r="K161" s="3"/>
      <c r="L161" s="3">
        <f t="shared" si="29"/>
        <v>-3829.13</v>
      </c>
      <c r="M161" s="3"/>
      <c r="N161" s="5">
        <f t="shared" si="30"/>
        <v>123808.7</v>
      </c>
    </row>
    <row r="162" spans="1:14" ht="12.75" x14ac:dyDescent="0.2">
      <c r="A162" s="34" t="s">
        <v>161</v>
      </c>
      <c r="B162" s="15" t="s">
        <v>90</v>
      </c>
      <c r="C162" s="1" t="s">
        <v>15</v>
      </c>
      <c r="D162" s="22" t="s">
        <v>118</v>
      </c>
      <c r="E162" s="4" t="s">
        <v>119</v>
      </c>
      <c r="G162" s="36">
        <v>263</v>
      </c>
      <c r="H162" s="10">
        <v>7977.364453823483</v>
      </c>
      <c r="I162" s="10">
        <f t="shared" si="31"/>
        <v>2098046.85</v>
      </c>
      <c r="J162" s="2">
        <f t="shared" si="28"/>
        <v>174837.24</v>
      </c>
      <c r="K162" s="3"/>
      <c r="L162" s="3">
        <f t="shared" si="29"/>
        <v>-5245.12</v>
      </c>
      <c r="M162" s="3"/>
      <c r="N162" s="5">
        <f t="shared" si="30"/>
        <v>169592.12</v>
      </c>
    </row>
    <row r="163" spans="1:14" ht="12.75" x14ac:dyDescent="0.2">
      <c r="A163" s="34" t="s">
        <v>161</v>
      </c>
      <c r="B163" s="15" t="s">
        <v>90</v>
      </c>
      <c r="C163" s="1" t="s">
        <v>15</v>
      </c>
      <c r="D163" s="22" t="s">
        <v>58</v>
      </c>
      <c r="E163" s="1" t="s">
        <v>188</v>
      </c>
      <c r="G163" s="36">
        <v>324</v>
      </c>
      <c r="H163" s="10">
        <v>7977.364453823483</v>
      </c>
      <c r="I163" s="10">
        <f t="shared" si="31"/>
        <v>2584666.08</v>
      </c>
      <c r="J163" s="2">
        <f t="shared" si="28"/>
        <v>215388.84</v>
      </c>
      <c r="K163" s="3"/>
      <c r="L163" s="3">
        <f t="shared" si="29"/>
        <v>-6461.67</v>
      </c>
      <c r="M163" s="3">
        <v>-17523.8</v>
      </c>
      <c r="N163" s="5">
        <f t="shared" si="30"/>
        <v>191403.37</v>
      </c>
    </row>
    <row r="164" spans="1:14" ht="12.75" x14ac:dyDescent="0.2">
      <c r="A164" s="34" t="s">
        <v>161</v>
      </c>
      <c r="B164" s="15" t="s">
        <v>90</v>
      </c>
      <c r="C164" s="1" t="s">
        <v>15</v>
      </c>
      <c r="D164" s="22" t="s">
        <v>71</v>
      </c>
      <c r="E164" s="4" t="s">
        <v>70</v>
      </c>
      <c r="G164" s="36">
        <v>70</v>
      </c>
      <c r="H164" s="10">
        <v>7977.364453823483</v>
      </c>
      <c r="I164" s="10">
        <f t="shared" si="31"/>
        <v>558415.51</v>
      </c>
      <c r="J164" s="2">
        <f t="shared" si="28"/>
        <v>46534.63</v>
      </c>
      <c r="K164" s="3"/>
      <c r="L164" s="3">
        <f t="shared" si="29"/>
        <v>-1396.04</v>
      </c>
      <c r="M164" s="3"/>
      <c r="N164" s="5">
        <f t="shared" si="30"/>
        <v>45138.59</v>
      </c>
    </row>
    <row r="165" spans="1:14" ht="12.75" x14ac:dyDescent="0.2">
      <c r="A165" s="34" t="s">
        <v>161</v>
      </c>
      <c r="B165" s="15" t="s">
        <v>90</v>
      </c>
      <c r="C165" s="7" t="s">
        <v>15</v>
      </c>
      <c r="D165" s="21" t="s">
        <v>57</v>
      </c>
      <c r="E165" s="7" t="s">
        <v>32</v>
      </c>
      <c r="G165" s="36">
        <v>327.62</v>
      </c>
      <c r="H165" s="10">
        <v>7977.364453823483</v>
      </c>
      <c r="I165" s="10">
        <f t="shared" si="31"/>
        <v>2613544.14</v>
      </c>
      <c r="J165" s="2">
        <f t="shared" si="28"/>
        <v>217795.35</v>
      </c>
      <c r="K165" s="3"/>
      <c r="L165" s="3">
        <f t="shared" si="29"/>
        <v>-6533.86</v>
      </c>
      <c r="M165" s="3"/>
      <c r="N165" s="5">
        <f t="shared" si="30"/>
        <v>211261.49000000002</v>
      </c>
    </row>
    <row r="166" spans="1:14" ht="12.75" x14ac:dyDescent="0.2">
      <c r="A166" s="34" t="s">
        <v>161</v>
      </c>
      <c r="B166" s="15" t="s">
        <v>90</v>
      </c>
      <c r="C166" s="1" t="s">
        <v>15</v>
      </c>
      <c r="D166" s="21" t="s">
        <v>53</v>
      </c>
      <c r="E166" s="1" t="s">
        <v>189</v>
      </c>
      <c r="G166" s="36">
        <v>907</v>
      </c>
      <c r="H166" s="10">
        <v>7977.364453823483</v>
      </c>
      <c r="I166" s="10">
        <f t="shared" si="31"/>
        <v>7235469.5599999996</v>
      </c>
      <c r="J166" s="2">
        <f t="shared" si="28"/>
        <v>602955.80000000005</v>
      </c>
      <c r="K166" s="3"/>
      <c r="L166" s="3">
        <f t="shared" si="29"/>
        <v>-18088.669999999998</v>
      </c>
      <c r="M166" s="3">
        <v>-63255.26</v>
      </c>
      <c r="N166" s="5">
        <f t="shared" si="30"/>
        <v>521611.87</v>
      </c>
    </row>
    <row r="167" spans="1:14" ht="12.75" x14ac:dyDescent="0.2">
      <c r="A167" s="35" t="s">
        <v>157</v>
      </c>
      <c r="B167" s="13" t="s">
        <v>87</v>
      </c>
      <c r="C167" s="5" t="s">
        <v>87</v>
      </c>
      <c r="D167" s="21" t="s">
        <v>173</v>
      </c>
      <c r="E167" s="5" t="s">
        <v>190</v>
      </c>
      <c r="G167" s="36">
        <v>633.79999999999995</v>
      </c>
      <c r="H167" s="10">
        <v>7760.0841571334395</v>
      </c>
      <c r="I167" s="10">
        <f t="shared" si="31"/>
        <v>4918341.34</v>
      </c>
      <c r="J167" s="2">
        <f t="shared" si="28"/>
        <v>409861.78</v>
      </c>
      <c r="K167" s="3"/>
      <c r="L167" s="3">
        <f t="shared" si="29"/>
        <v>-12295.85</v>
      </c>
      <c r="M167" s="3"/>
      <c r="N167" s="5">
        <f t="shared" si="30"/>
        <v>397565.93000000005</v>
      </c>
    </row>
    <row r="168" spans="1:14" ht="12.75" x14ac:dyDescent="0.2">
      <c r="A168" s="35" t="s">
        <v>157</v>
      </c>
      <c r="B168" s="13" t="s">
        <v>87</v>
      </c>
      <c r="C168" s="1" t="s">
        <v>87</v>
      </c>
      <c r="D168" s="22" t="s">
        <v>51</v>
      </c>
      <c r="E168" s="1" t="s">
        <v>191</v>
      </c>
      <c r="G168" s="36">
        <v>840</v>
      </c>
      <c r="H168" s="10">
        <v>7760.0841571334395</v>
      </c>
      <c r="I168" s="10">
        <f t="shared" si="31"/>
        <v>6518470.6900000004</v>
      </c>
      <c r="J168" s="2">
        <f t="shared" si="28"/>
        <v>543205.89</v>
      </c>
      <c r="K168" s="3"/>
      <c r="L168" s="3">
        <f t="shared" si="29"/>
        <v>-16296.18</v>
      </c>
      <c r="M168" s="3">
        <v>-73961.25</v>
      </c>
      <c r="N168" s="5">
        <f t="shared" si="30"/>
        <v>452948.45999999996</v>
      </c>
    </row>
    <row r="169" spans="1:14" ht="12.75" x14ac:dyDescent="0.2">
      <c r="A169" s="35" t="s">
        <v>165</v>
      </c>
      <c r="B169" s="13" t="s">
        <v>91</v>
      </c>
      <c r="C169" s="7" t="s">
        <v>21</v>
      </c>
      <c r="D169" s="22" t="s">
        <v>61</v>
      </c>
      <c r="E169" s="7" t="s">
        <v>192</v>
      </c>
      <c r="G169" s="36">
        <v>192</v>
      </c>
      <c r="H169" s="10">
        <v>8011.8374864182242</v>
      </c>
      <c r="I169" s="10">
        <f t="shared" si="31"/>
        <v>1538272.8</v>
      </c>
      <c r="J169" s="2">
        <f t="shared" si="28"/>
        <v>128189.4</v>
      </c>
      <c r="K169" s="3"/>
      <c r="L169" s="3">
        <f t="shared" si="29"/>
        <v>-3845.68</v>
      </c>
      <c r="M169" s="3"/>
      <c r="N169" s="5">
        <f t="shared" si="30"/>
        <v>124343.72</v>
      </c>
    </row>
    <row r="170" spans="1:14" ht="12.75" x14ac:dyDescent="0.2">
      <c r="A170" s="35" t="s">
        <v>165</v>
      </c>
      <c r="B170" s="13" t="s">
        <v>91</v>
      </c>
      <c r="C170" s="5" t="s">
        <v>21</v>
      </c>
      <c r="D170" s="21" t="s">
        <v>62</v>
      </c>
      <c r="E170" s="5" t="s">
        <v>23</v>
      </c>
      <c r="G170" s="36">
        <v>242.5</v>
      </c>
      <c r="H170" s="10">
        <v>8011.8374864182242</v>
      </c>
      <c r="I170" s="10">
        <f t="shared" si="31"/>
        <v>1942870.59</v>
      </c>
      <c r="J170" s="2">
        <f t="shared" si="28"/>
        <v>161905.88</v>
      </c>
      <c r="K170" s="3"/>
      <c r="L170" s="3">
        <f t="shared" si="29"/>
        <v>-4857.18</v>
      </c>
      <c r="M170" s="3"/>
      <c r="N170" s="5">
        <f t="shared" si="30"/>
        <v>157048.70000000001</v>
      </c>
    </row>
    <row r="171" spans="1:14" ht="12.75" x14ac:dyDescent="0.2">
      <c r="A171" s="35" t="s">
        <v>158</v>
      </c>
      <c r="B171" s="13" t="s">
        <v>13</v>
      </c>
      <c r="C171" s="5" t="s">
        <v>13</v>
      </c>
      <c r="D171" s="21" t="s">
        <v>52</v>
      </c>
      <c r="E171" s="5" t="s">
        <v>193</v>
      </c>
      <c r="G171" s="36">
        <v>315</v>
      </c>
      <c r="H171" s="10">
        <v>8335.6055726040868</v>
      </c>
      <c r="I171" s="10">
        <f t="shared" si="31"/>
        <v>2625715.7599999998</v>
      </c>
      <c r="J171" s="2">
        <f t="shared" si="28"/>
        <v>218809.65</v>
      </c>
      <c r="K171" s="3"/>
      <c r="L171" s="3">
        <f t="shared" si="29"/>
        <v>-6564.29</v>
      </c>
      <c r="M171" s="3"/>
      <c r="N171" s="5">
        <f t="shared" si="30"/>
        <v>212245.36</v>
      </c>
    </row>
    <row r="172" spans="1:14" ht="12.75" x14ac:dyDescent="0.2">
      <c r="A172" s="35" t="s">
        <v>164</v>
      </c>
      <c r="B172" s="13" t="s">
        <v>84</v>
      </c>
      <c r="C172" s="1" t="s">
        <v>84</v>
      </c>
      <c r="D172" s="22" t="s">
        <v>96</v>
      </c>
      <c r="E172" s="1" t="s">
        <v>83</v>
      </c>
      <c r="G172" s="36">
        <v>689.64</v>
      </c>
      <c r="H172" s="10">
        <v>7890.111859375209</v>
      </c>
      <c r="I172" s="10">
        <f t="shared" si="31"/>
        <v>5441336.7400000002</v>
      </c>
      <c r="J172" s="2">
        <f t="shared" si="28"/>
        <v>453444.73</v>
      </c>
      <c r="K172" s="3"/>
      <c r="L172" s="3">
        <f t="shared" si="29"/>
        <v>-13603.34</v>
      </c>
      <c r="M172" s="3">
        <v>-52789.46</v>
      </c>
      <c r="N172" s="5">
        <f t="shared" si="30"/>
        <v>387051.92999999993</v>
      </c>
    </row>
    <row r="173" spans="1:14" ht="12.75" x14ac:dyDescent="0.2">
      <c r="A173" s="35" t="s">
        <v>168</v>
      </c>
      <c r="B173" s="13" t="s">
        <v>88</v>
      </c>
      <c r="C173" s="1" t="s">
        <v>25</v>
      </c>
      <c r="D173" s="22" t="s">
        <v>65</v>
      </c>
      <c r="E173" s="1" t="s">
        <v>26</v>
      </c>
      <c r="G173" s="36">
        <v>864</v>
      </c>
      <c r="H173" s="10">
        <v>7661.9794243650758</v>
      </c>
      <c r="I173" s="10">
        <f t="shared" si="31"/>
        <v>6619950.2199999997</v>
      </c>
      <c r="J173" s="2">
        <f t="shared" si="28"/>
        <v>551662.52</v>
      </c>
      <c r="K173" s="3"/>
      <c r="L173" s="3">
        <f t="shared" si="29"/>
        <v>-16549.88</v>
      </c>
      <c r="M173" s="3">
        <v>-110980.83</v>
      </c>
      <c r="N173" s="5">
        <f t="shared" si="30"/>
        <v>424131.81</v>
      </c>
    </row>
    <row r="174" spans="1:14" ht="12.75" x14ac:dyDescent="0.2">
      <c r="A174" s="35" t="s">
        <v>168</v>
      </c>
      <c r="B174" s="13" t="s">
        <v>88</v>
      </c>
      <c r="C174" s="1" t="s">
        <v>25</v>
      </c>
      <c r="D174" s="22" t="s">
        <v>81</v>
      </c>
      <c r="E174" s="1" t="s">
        <v>194</v>
      </c>
      <c r="G174" s="36">
        <v>61</v>
      </c>
      <c r="H174" s="10">
        <v>7661.9794243650758</v>
      </c>
      <c r="I174" s="10">
        <f t="shared" si="31"/>
        <v>467380.74</v>
      </c>
      <c r="J174" s="2">
        <f t="shared" si="28"/>
        <v>38948.400000000001</v>
      </c>
      <c r="K174" s="3"/>
      <c r="L174" s="3">
        <f t="shared" si="29"/>
        <v>-1168.45</v>
      </c>
      <c r="M174" s="3"/>
      <c r="N174" s="5">
        <f t="shared" si="30"/>
        <v>37779.950000000004</v>
      </c>
    </row>
    <row r="175" spans="1:14" ht="12.75" x14ac:dyDescent="0.2">
      <c r="A175" s="35" t="s">
        <v>166</v>
      </c>
      <c r="B175" s="13" t="s">
        <v>92</v>
      </c>
      <c r="C175" s="1" t="s">
        <v>24</v>
      </c>
      <c r="D175" s="22" t="s">
        <v>63</v>
      </c>
      <c r="E175" s="1" t="s">
        <v>195</v>
      </c>
      <c r="G175" s="36">
        <v>195.24</v>
      </c>
      <c r="H175" s="10">
        <v>7662.0914110189869</v>
      </c>
      <c r="I175" s="10">
        <f t="shared" si="31"/>
        <v>1495946.73</v>
      </c>
      <c r="J175" s="2">
        <f t="shared" si="28"/>
        <v>124662.23</v>
      </c>
      <c r="K175" s="3"/>
      <c r="L175" s="3">
        <f t="shared" si="29"/>
        <v>-3739.87</v>
      </c>
      <c r="M175" s="3"/>
      <c r="N175" s="5">
        <f t="shared" si="30"/>
        <v>120922.36</v>
      </c>
    </row>
    <row r="176" spans="1:14" ht="12.75" x14ac:dyDescent="0.2">
      <c r="A176" s="35" t="s">
        <v>166</v>
      </c>
      <c r="B176" s="13" t="s">
        <v>92</v>
      </c>
      <c r="C176" s="1" t="s">
        <v>24</v>
      </c>
      <c r="D176" s="22" t="s">
        <v>174</v>
      </c>
      <c r="E176" s="1" t="s">
        <v>196</v>
      </c>
      <c r="G176" s="36">
        <v>225</v>
      </c>
      <c r="H176" s="10">
        <v>7662.0914110189869</v>
      </c>
      <c r="I176" s="10">
        <f t="shared" si="31"/>
        <v>1723970.57</v>
      </c>
      <c r="J176" s="2">
        <f t="shared" si="28"/>
        <v>143664.21</v>
      </c>
      <c r="K176" s="3"/>
      <c r="L176" s="3">
        <f t="shared" si="29"/>
        <v>-4309.93</v>
      </c>
      <c r="M176" s="3"/>
      <c r="N176" s="5">
        <f t="shared" si="30"/>
        <v>139354.28</v>
      </c>
    </row>
    <row r="177" spans="1:14" ht="12.75" x14ac:dyDescent="0.2">
      <c r="A177" s="35" t="s">
        <v>166</v>
      </c>
      <c r="B177" s="13" t="s">
        <v>92</v>
      </c>
      <c r="C177" s="1" t="s">
        <v>24</v>
      </c>
      <c r="D177" s="22" t="s">
        <v>115</v>
      </c>
      <c r="E177" s="1" t="s">
        <v>120</v>
      </c>
      <c r="G177" s="36">
        <v>166</v>
      </c>
      <c r="H177" s="10">
        <v>7662.0914110189869</v>
      </c>
      <c r="I177" s="10">
        <f t="shared" si="31"/>
        <v>1271907.17</v>
      </c>
      <c r="J177" s="2">
        <f t="shared" si="28"/>
        <v>105992.26</v>
      </c>
      <c r="K177" s="3"/>
      <c r="L177" s="3">
        <f t="shared" si="29"/>
        <v>-3179.77</v>
      </c>
      <c r="M177" s="3"/>
      <c r="N177" s="5">
        <f t="shared" si="30"/>
        <v>102812.48999999999</v>
      </c>
    </row>
    <row r="178" spans="1:14" ht="12.75" x14ac:dyDescent="0.2">
      <c r="A178" s="35" t="s">
        <v>166</v>
      </c>
      <c r="B178" s="13" t="s">
        <v>92</v>
      </c>
      <c r="C178" s="1" t="s">
        <v>24</v>
      </c>
      <c r="D178" s="22" t="s">
        <v>117</v>
      </c>
      <c r="E178" s="1" t="s">
        <v>197</v>
      </c>
      <c r="G178" s="36">
        <v>234.5</v>
      </c>
      <c r="H178" s="10">
        <v>7662.0914110189869</v>
      </c>
      <c r="I178" s="10">
        <f t="shared" si="31"/>
        <v>1796760.44</v>
      </c>
      <c r="J178" s="2">
        <f t="shared" si="28"/>
        <v>149730.04</v>
      </c>
      <c r="K178" s="3"/>
      <c r="L178" s="3">
        <f t="shared" si="29"/>
        <v>-4491.8999999999996</v>
      </c>
      <c r="M178" s="3"/>
      <c r="N178" s="5">
        <f t="shared" si="30"/>
        <v>145238.14000000001</v>
      </c>
    </row>
    <row r="179" spans="1:14" ht="12.75" x14ac:dyDescent="0.2">
      <c r="A179" s="35" t="s">
        <v>166</v>
      </c>
      <c r="B179" s="13" t="s">
        <v>92</v>
      </c>
      <c r="C179" s="1" t="s">
        <v>24</v>
      </c>
      <c r="D179" s="22" t="s">
        <v>64</v>
      </c>
      <c r="E179" s="1" t="s">
        <v>198</v>
      </c>
      <c r="G179" s="36">
        <v>1305</v>
      </c>
      <c r="H179" s="10">
        <v>7662.0914110189869</v>
      </c>
      <c r="I179" s="10">
        <f t="shared" si="31"/>
        <v>9999029.2899999991</v>
      </c>
      <c r="J179" s="2">
        <f t="shared" si="28"/>
        <v>833252.44</v>
      </c>
      <c r="K179" s="3"/>
      <c r="L179" s="3">
        <f t="shared" si="29"/>
        <v>-24997.57</v>
      </c>
      <c r="M179" s="3">
        <v>-160915</v>
      </c>
      <c r="N179" s="5">
        <f t="shared" si="30"/>
        <v>647339.87</v>
      </c>
    </row>
    <row r="180" spans="1:14" ht="12.75" x14ac:dyDescent="0.2">
      <c r="A180" s="35" t="s">
        <v>166</v>
      </c>
      <c r="B180" s="13" t="s">
        <v>92</v>
      </c>
      <c r="C180" s="1" t="s">
        <v>24</v>
      </c>
      <c r="D180" s="22" t="s">
        <v>116</v>
      </c>
      <c r="E180" s="1" t="s">
        <v>199</v>
      </c>
      <c r="G180" s="36">
        <v>100</v>
      </c>
      <c r="H180" s="10">
        <v>7662.0914110189869</v>
      </c>
      <c r="I180" s="10">
        <f t="shared" si="31"/>
        <v>766209.14</v>
      </c>
      <c r="J180" s="2">
        <f t="shared" si="28"/>
        <v>63850.76</v>
      </c>
      <c r="K180" s="3"/>
      <c r="L180" s="3">
        <f t="shared" si="29"/>
        <v>-1915.52</v>
      </c>
      <c r="M180" s="3"/>
      <c r="N180" s="5">
        <f t="shared" si="30"/>
        <v>61935.240000000005</v>
      </c>
    </row>
    <row r="181" spans="1:14" ht="12.75" x14ac:dyDescent="0.2">
      <c r="A181" s="35" t="s">
        <v>162</v>
      </c>
      <c r="B181" s="13" t="s">
        <v>93</v>
      </c>
      <c r="C181" s="5" t="s">
        <v>19</v>
      </c>
      <c r="D181" s="21" t="s">
        <v>59</v>
      </c>
      <c r="E181" s="5" t="s">
        <v>200</v>
      </c>
      <c r="G181" s="36">
        <v>300</v>
      </c>
      <c r="H181" s="10">
        <v>8343.713781491635</v>
      </c>
      <c r="I181" s="10">
        <f t="shared" si="31"/>
        <v>2503114.13</v>
      </c>
      <c r="J181" s="2">
        <f t="shared" si="28"/>
        <v>208592.84</v>
      </c>
      <c r="K181" s="3"/>
      <c r="L181" s="3">
        <f t="shared" si="29"/>
        <v>-6257.79</v>
      </c>
      <c r="M181" s="3"/>
      <c r="N181" s="5">
        <f t="shared" si="30"/>
        <v>202335.05</v>
      </c>
    </row>
    <row r="182" spans="1:14" ht="12.75" x14ac:dyDescent="0.2">
      <c r="A182" s="35" t="s">
        <v>162</v>
      </c>
      <c r="B182" s="13" t="s">
        <v>93</v>
      </c>
      <c r="C182" s="7" t="s">
        <v>19</v>
      </c>
      <c r="D182" s="22" t="s">
        <v>60</v>
      </c>
      <c r="E182" s="7" t="s">
        <v>201</v>
      </c>
      <c r="G182" s="36">
        <v>363</v>
      </c>
      <c r="H182" s="10">
        <v>8343.713781491635</v>
      </c>
      <c r="I182" s="10">
        <f t="shared" si="31"/>
        <v>3028768.1</v>
      </c>
      <c r="J182" s="2">
        <f t="shared" si="28"/>
        <v>252397.34</v>
      </c>
      <c r="K182" s="3"/>
      <c r="L182" s="3">
        <f t="shared" si="29"/>
        <v>-7571.92</v>
      </c>
      <c r="M182" s="3">
        <v>-42339.19</v>
      </c>
      <c r="N182" s="5">
        <f t="shared" si="30"/>
        <v>202486.22999999998</v>
      </c>
    </row>
    <row r="183" spans="1:14" ht="12.75" x14ac:dyDescent="0.2">
      <c r="A183" s="35" t="s">
        <v>156</v>
      </c>
      <c r="B183" s="13" t="s">
        <v>94</v>
      </c>
      <c r="C183" s="5" t="s">
        <v>40</v>
      </c>
      <c r="D183" s="21" t="s">
        <v>82</v>
      </c>
      <c r="E183" s="5" t="s">
        <v>202</v>
      </c>
      <c r="G183" s="36">
        <v>86</v>
      </c>
      <c r="H183" s="10">
        <v>7939.791327137541</v>
      </c>
      <c r="I183" s="10">
        <f t="shared" si="31"/>
        <v>682822.05</v>
      </c>
      <c r="J183" s="2">
        <f t="shared" si="28"/>
        <v>56901.84</v>
      </c>
      <c r="K183" s="3"/>
      <c r="L183" s="3">
        <f t="shared" si="29"/>
        <v>-1707.06</v>
      </c>
      <c r="M183" s="3"/>
      <c r="N183" s="5">
        <f t="shared" si="30"/>
        <v>55194.78</v>
      </c>
    </row>
    <row r="184" spans="1:14" ht="12.75" x14ac:dyDescent="0.2">
      <c r="A184" s="35" t="s">
        <v>169</v>
      </c>
      <c r="B184" s="13" t="s">
        <v>95</v>
      </c>
      <c r="C184" s="5" t="s">
        <v>175</v>
      </c>
      <c r="D184" s="21" t="s">
        <v>74</v>
      </c>
      <c r="E184" s="5" t="s">
        <v>203</v>
      </c>
      <c r="G184" s="36">
        <v>133</v>
      </c>
      <c r="H184" s="10">
        <v>7996.3401805053491</v>
      </c>
      <c r="I184" s="10">
        <f t="shared" si="31"/>
        <v>1063513.24</v>
      </c>
      <c r="J184" s="2">
        <f t="shared" si="28"/>
        <v>88626.1</v>
      </c>
      <c r="K184" s="3"/>
      <c r="L184" s="3">
        <f t="shared" si="29"/>
        <v>-2658.78</v>
      </c>
      <c r="M184" s="3"/>
      <c r="N184" s="5">
        <f t="shared" si="30"/>
        <v>85967.32</v>
      </c>
    </row>
    <row r="185" spans="1:14" ht="12.75" x14ac:dyDescent="0.2">
      <c r="A185" s="35" t="s">
        <v>152</v>
      </c>
      <c r="B185" s="13" t="s">
        <v>86</v>
      </c>
      <c r="C185" s="5" t="s">
        <v>176</v>
      </c>
      <c r="D185" s="21" t="s">
        <v>67</v>
      </c>
      <c r="E185" s="5" t="s">
        <v>204</v>
      </c>
      <c r="G185" s="36">
        <v>470</v>
      </c>
      <c r="H185" s="10">
        <v>8563.2744493222235</v>
      </c>
      <c r="I185" s="10">
        <f t="shared" si="31"/>
        <v>4024738.99</v>
      </c>
      <c r="J185" s="2">
        <f t="shared" si="28"/>
        <v>335394.92</v>
      </c>
      <c r="K185" s="3"/>
      <c r="L185" s="3">
        <f t="shared" si="29"/>
        <v>-10061.85</v>
      </c>
      <c r="M185" s="3">
        <v>-30644.720000000001</v>
      </c>
      <c r="N185" s="5">
        <f t="shared" si="30"/>
        <v>294688.34999999998</v>
      </c>
    </row>
    <row r="186" spans="1:14" x14ac:dyDescent="0.25">
      <c r="A186" s="35" t="s">
        <v>152</v>
      </c>
      <c r="B186" s="13" t="s">
        <v>86</v>
      </c>
      <c r="C186" s="6" t="s">
        <v>176</v>
      </c>
      <c r="D186" t="s">
        <v>47</v>
      </c>
      <c r="E186" s="6" t="s">
        <v>205</v>
      </c>
      <c r="G186" s="36">
        <v>310</v>
      </c>
      <c r="H186" s="10">
        <v>8563.2744493222235</v>
      </c>
      <c r="I186" s="10">
        <f t="shared" si="31"/>
        <v>2654615.08</v>
      </c>
      <c r="J186" s="2">
        <f t="shared" si="28"/>
        <v>221217.92000000001</v>
      </c>
      <c r="K186" s="3"/>
      <c r="L186" s="3">
        <f t="shared" si="29"/>
        <v>-6636.54</v>
      </c>
      <c r="M186" s="3">
        <v>-42638.53</v>
      </c>
      <c r="N186" s="5">
        <f t="shared" si="30"/>
        <v>171942.85</v>
      </c>
    </row>
    <row r="187" spans="1:14" x14ac:dyDescent="0.25">
      <c r="A187" s="35" t="s">
        <v>152</v>
      </c>
      <c r="B187" s="13" t="s">
        <v>86</v>
      </c>
      <c r="C187" s="8" t="s">
        <v>176</v>
      </c>
      <c r="D187" t="s">
        <v>48</v>
      </c>
      <c r="E187" s="8" t="s">
        <v>206</v>
      </c>
      <c r="G187" s="36">
        <v>257.10000000000002</v>
      </c>
      <c r="H187" s="10">
        <v>8563.2744493222235</v>
      </c>
      <c r="I187" s="10">
        <f t="shared" si="31"/>
        <v>2201617.86</v>
      </c>
      <c r="J187" s="2">
        <f t="shared" si="28"/>
        <v>183468.16</v>
      </c>
      <c r="K187" s="3"/>
      <c r="L187" s="3">
        <f t="shared" si="29"/>
        <v>-5504.04</v>
      </c>
      <c r="M187" s="3"/>
      <c r="N187" s="5">
        <f t="shared" si="30"/>
        <v>177964.12</v>
      </c>
    </row>
    <row r="188" spans="1:14" x14ac:dyDescent="0.25">
      <c r="G188" s="9"/>
      <c r="H188" s="6"/>
      <c r="I188" s="6"/>
      <c r="J188" s="6"/>
      <c r="K188" s="6"/>
      <c r="L188" s="6"/>
      <c r="M188" s="6"/>
      <c r="N188" s="6"/>
    </row>
    <row r="189" spans="1:14" x14ac:dyDescent="0.25">
      <c r="G189" s="16">
        <f>SUM(G148:G188)</f>
        <v>19037.5</v>
      </c>
      <c r="H189" s="8"/>
      <c r="I189" s="16">
        <f t="shared" ref="I189:N189" si="32">SUM(I148:I188)</f>
        <v>152169644.90000004</v>
      </c>
      <c r="J189" s="16">
        <f t="shared" si="32"/>
        <v>12680803.76</v>
      </c>
      <c r="K189" s="8">
        <f t="shared" si="32"/>
        <v>0</v>
      </c>
      <c r="L189" s="8">
        <f t="shared" si="32"/>
        <v>-380424.13</v>
      </c>
      <c r="M189" s="8">
        <f t="shared" si="32"/>
        <v>-1426085.66</v>
      </c>
      <c r="N189" s="16">
        <f t="shared" si="32"/>
        <v>10874293.969999997</v>
      </c>
    </row>
    <row r="190" spans="1:14" x14ac:dyDescent="0.25">
      <c r="J190" s="16"/>
      <c r="L190" s="8"/>
    </row>
    <row r="192" spans="1:14" ht="12.75" x14ac:dyDescent="0.2">
      <c r="A192" s="17" t="s">
        <v>170</v>
      </c>
      <c r="B192" s="17"/>
      <c r="C192" s="11"/>
      <c r="D192" s="11"/>
      <c r="E192" s="17"/>
      <c r="F192" s="19"/>
      <c r="G192" s="19"/>
      <c r="H192" s="19"/>
      <c r="I192" s="19"/>
      <c r="J192" s="19"/>
      <c r="K192" s="19"/>
      <c r="L192" s="19"/>
      <c r="M192" s="19"/>
      <c r="N192" s="19"/>
    </row>
    <row r="193" spans="1:14" ht="63.75" x14ac:dyDescent="0.2">
      <c r="A193" s="20" t="s">
        <v>210</v>
      </c>
      <c r="B193" s="20"/>
      <c r="C193" s="11"/>
      <c r="D193" s="11" t="s">
        <v>38</v>
      </c>
      <c r="E193" s="17" t="s">
        <v>39</v>
      </c>
      <c r="F193" s="12"/>
      <c r="G193" s="23" t="s">
        <v>0</v>
      </c>
      <c r="H193" s="23" t="s">
        <v>1</v>
      </c>
      <c r="I193" s="23" t="s">
        <v>2</v>
      </c>
      <c r="J193" s="23" t="s">
        <v>3</v>
      </c>
      <c r="K193" s="23" t="s">
        <v>4</v>
      </c>
      <c r="L193" s="23" t="s">
        <v>5</v>
      </c>
      <c r="M193" s="23" t="s">
        <v>28</v>
      </c>
      <c r="N193" s="23" t="s">
        <v>6</v>
      </c>
    </row>
    <row r="194" spans="1:14" x14ac:dyDescent="0.25">
      <c r="C194" s="6"/>
      <c r="E194" s="6"/>
      <c r="F194" s="6"/>
      <c r="G194" s="14"/>
      <c r="H194" s="10"/>
      <c r="I194" s="10"/>
      <c r="J194" s="10"/>
      <c r="K194" s="10"/>
      <c r="L194" s="10"/>
      <c r="M194" s="10"/>
      <c r="N194" s="5"/>
    </row>
    <row r="195" spans="1:14" ht="12.75" x14ac:dyDescent="0.2">
      <c r="A195" s="35" t="s">
        <v>142</v>
      </c>
      <c r="B195" s="13" t="s">
        <v>86</v>
      </c>
      <c r="C195" s="1" t="s">
        <v>172</v>
      </c>
      <c r="D195" s="21" t="s">
        <v>44</v>
      </c>
      <c r="E195" s="1" t="s">
        <v>177</v>
      </c>
      <c r="G195" s="36">
        <v>1839</v>
      </c>
      <c r="H195" s="10">
        <v>7890.8685587645041</v>
      </c>
      <c r="I195" s="10">
        <f>ROUND(G195*H195,2)</f>
        <v>14511307.279999999</v>
      </c>
      <c r="J195" s="2">
        <f t="shared" ref="J195:J234" si="33">ROUND(I195/12,2)</f>
        <v>1209275.6100000001</v>
      </c>
      <c r="K195" s="3"/>
      <c r="L195" s="3">
        <f t="shared" ref="L195:L234" si="34">ROUND(I195*-0.03/12,2)</f>
        <v>-36278.269999999997</v>
      </c>
      <c r="M195" s="3">
        <v>-95728.75</v>
      </c>
      <c r="N195" s="5">
        <f t="shared" ref="N195:N234" si="35">J195+K195+L195+M195</f>
        <v>1077268.5900000001</v>
      </c>
    </row>
    <row r="196" spans="1:14" ht="12.75" x14ac:dyDescent="0.2">
      <c r="A196" s="35" t="s">
        <v>142</v>
      </c>
      <c r="B196" s="13" t="s">
        <v>86</v>
      </c>
      <c r="C196" s="5" t="s">
        <v>172</v>
      </c>
      <c r="D196" s="21" t="s">
        <v>68</v>
      </c>
      <c r="E196" s="5" t="s">
        <v>178</v>
      </c>
      <c r="G196" s="36">
        <v>845</v>
      </c>
      <c r="H196" s="10">
        <v>7890.8685587645041</v>
      </c>
      <c r="I196" s="10">
        <f t="shared" ref="I196:I234" si="36">ROUND(G196*H196,2)</f>
        <v>6667783.9299999997</v>
      </c>
      <c r="J196" s="2">
        <f t="shared" si="33"/>
        <v>555648.66</v>
      </c>
      <c r="K196" s="3"/>
      <c r="L196" s="3">
        <f t="shared" si="34"/>
        <v>-16669.46</v>
      </c>
      <c r="M196" s="3">
        <v>-32574.17</v>
      </c>
      <c r="N196" s="5">
        <f t="shared" si="35"/>
        <v>506405.03000000009</v>
      </c>
    </row>
    <row r="197" spans="1:14" ht="12.75" x14ac:dyDescent="0.2">
      <c r="A197" s="35" t="s">
        <v>142</v>
      </c>
      <c r="B197" s="13" t="s">
        <v>86</v>
      </c>
      <c r="C197" s="1" t="s">
        <v>172</v>
      </c>
      <c r="D197" s="22" t="s">
        <v>146</v>
      </c>
      <c r="E197" s="1" t="s">
        <v>179</v>
      </c>
      <c r="G197" s="36">
        <v>2001</v>
      </c>
      <c r="H197" s="10">
        <v>7890.8685587645041</v>
      </c>
      <c r="I197" s="10">
        <f t="shared" si="36"/>
        <v>15789627.99</v>
      </c>
      <c r="J197" s="2">
        <f t="shared" si="33"/>
        <v>1315802.33</v>
      </c>
      <c r="K197" s="3"/>
      <c r="L197" s="3">
        <f t="shared" si="34"/>
        <v>-39474.07</v>
      </c>
      <c r="M197" s="3">
        <v>-187836.66999999998</v>
      </c>
      <c r="N197" s="5">
        <f t="shared" si="35"/>
        <v>1088491.5900000001</v>
      </c>
    </row>
    <row r="198" spans="1:14" ht="12.75" x14ac:dyDescent="0.2">
      <c r="A198" s="35" t="s">
        <v>153</v>
      </c>
      <c r="B198" s="13" t="s">
        <v>89</v>
      </c>
      <c r="C198" s="5" t="s">
        <v>29</v>
      </c>
      <c r="D198" s="21" t="s">
        <v>80</v>
      </c>
      <c r="E198" s="5" t="s">
        <v>180</v>
      </c>
      <c r="G198" s="36">
        <v>375</v>
      </c>
      <c r="H198" s="10">
        <v>8714.1967120380505</v>
      </c>
      <c r="I198" s="10">
        <f t="shared" si="36"/>
        <v>3267823.77</v>
      </c>
      <c r="J198" s="2">
        <f t="shared" si="33"/>
        <v>272318.65000000002</v>
      </c>
      <c r="K198" s="3"/>
      <c r="L198" s="3">
        <f t="shared" si="34"/>
        <v>-8169.56</v>
      </c>
      <c r="M198" s="3">
        <v>-69801.56</v>
      </c>
      <c r="N198" s="5">
        <f t="shared" si="35"/>
        <v>194347.53000000003</v>
      </c>
    </row>
    <row r="199" spans="1:14" ht="12.75" x14ac:dyDescent="0.2">
      <c r="A199" s="35" t="s">
        <v>153</v>
      </c>
      <c r="B199" s="13" t="s">
        <v>89</v>
      </c>
      <c r="C199" s="5" t="s">
        <v>29</v>
      </c>
      <c r="D199" s="21" t="s">
        <v>49</v>
      </c>
      <c r="E199" s="5" t="s">
        <v>181</v>
      </c>
      <c r="G199" s="36">
        <v>322</v>
      </c>
      <c r="H199" s="10">
        <v>8714.1967120380505</v>
      </c>
      <c r="I199" s="10">
        <f t="shared" si="36"/>
        <v>2805971.34</v>
      </c>
      <c r="J199" s="2">
        <f t="shared" si="33"/>
        <v>233830.95</v>
      </c>
      <c r="K199" s="3"/>
      <c r="L199" s="3">
        <f t="shared" si="34"/>
        <v>-7014.93</v>
      </c>
      <c r="M199" s="3"/>
      <c r="N199" s="5">
        <f t="shared" si="35"/>
        <v>226816.02000000002</v>
      </c>
    </row>
    <row r="200" spans="1:14" ht="12.75" x14ac:dyDescent="0.2">
      <c r="A200" s="34" t="s">
        <v>153</v>
      </c>
      <c r="B200" s="13" t="s">
        <v>89</v>
      </c>
      <c r="C200" s="5" t="s">
        <v>29</v>
      </c>
      <c r="D200" s="21" t="s">
        <v>50</v>
      </c>
      <c r="E200" s="5" t="s">
        <v>182</v>
      </c>
      <c r="F200" s="15"/>
      <c r="G200" s="36">
        <v>270.10000000000002</v>
      </c>
      <c r="H200" s="10">
        <v>8714.1967120380505</v>
      </c>
      <c r="I200" s="10">
        <f t="shared" si="36"/>
        <v>2353704.5299999998</v>
      </c>
      <c r="J200" s="2">
        <f t="shared" si="33"/>
        <v>196142.04</v>
      </c>
      <c r="K200" s="3"/>
      <c r="L200" s="3">
        <f t="shared" si="34"/>
        <v>-5884.26</v>
      </c>
      <c r="M200" s="3"/>
      <c r="N200" s="5">
        <f t="shared" si="35"/>
        <v>190257.78</v>
      </c>
    </row>
    <row r="201" spans="1:14" ht="12.75" x14ac:dyDescent="0.2">
      <c r="A201" s="34" t="s">
        <v>153</v>
      </c>
      <c r="B201" s="13" t="s">
        <v>89</v>
      </c>
      <c r="C201" s="5" t="s">
        <v>29</v>
      </c>
      <c r="D201" s="21" t="s">
        <v>97</v>
      </c>
      <c r="E201" s="5" t="s">
        <v>183</v>
      </c>
      <c r="F201" s="15"/>
      <c r="G201" s="36">
        <v>101</v>
      </c>
      <c r="H201" s="10">
        <v>8714.1967120380505</v>
      </c>
      <c r="I201" s="10">
        <f t="shared" si="36"/>
        <v>880133.87</v>
      </c>
      <c r="J201" s="2">
        <f t="shared" si="33"/>
        <v>73344.490000000005</v>
      </c>
      <c r="K201" s="3"/>
      <c r="L201" s="3">
        <f t="shared" si="34"/>
        <v>-2200.33</v>
      </c>
      <c r="M201" s="3"/>
      <c r="N201" s="5">
        <f t="shared" si="35"/>
        <v>71144.160000000003</v>
      </c>
    </row>
    <row r="202" spans="1:14" ht="12.75" x14ac:dyDescent="0.2">
      <c r="A202" s="34" t="s">
        <v>151</v>
      </c>
      <c r="B202" s="13" t="s">
        <v>86</v>
      </c>
      <c r="C202" s="1" t="s">
        <v>85</v>
      </c>
      <c r="D202" s="22" t="s">
        <v>46</v>
      </c>
      <c r="E202" s="4" t="s">
        <v>184</v>
      </c>
      <c r="F202" s="15"/>
      <c r="G202" s="36">
        <v>685</v>
      </c>
      <c r="H202" s="10">
        <v>7792.632667540046</v>
      </c>
      <c r="I202" s="10">
        <f t="shared" si="36"/>
        <v>5337953.38</v>
      </c>
      <c r="J202" s="2">
        <f t="shared" si="33"/>
        <v>444829.45</v>
      </c>
      <c r="K202" s="3"/>
      <c r="L202" s="3">
        <f t="shared" si="34"/>
        <v>-13344.88</v>
      </c>
      <c r="M202" s="3">
        <v>-68529.38</v>
      </c>
      <c r="N202" s="5">
        <f t="shared" si="35"/>
        <v>362955.19</v>
      </c>
    </row>
    <row r="203" spans="1:14" ht="12.75" x14ac:dyDescent="0.2">
      <c r="A203" s="34" t="s">
        <v>147</v>
      </c>
      <c r="B203" s="13" t="s">
        <v>86</v>
      </c>
      <c r="C203" s="5" t="s">
        <v>8</v>
      </c>
      <c r="D203" s="21" t="s">
        <v>45</v>
      </c>
      <c r="E203" s="18" t="s">
        <v>185</v>
      </c>
      <c r="F203" s="15"/>
      <c r="G203" s="36">
        <v>750</v>
      </c>
      <c r="H203" s="10">
        <v>8566.0669376956666</v>
      </c>
      <c r="I203" s="10">
        <f t="shared" si="36"/>
        <v>6424550.2000000002</v>
      </c>
      <c r="J203" s="2">
        <f t="shared" si="33"/>
        <v>535379.18000000005</v>
      </c>
      <c r="K203" s="3"/>
      <c r="L203" s="3">
        <f t="shared" si="34"/>
        <v>-16061.38</v>
      </c>
      <c r="M203" s="3">
        <v>-159448.34</v>
      </c>
      <c r="N203" s="5">
        <f t="shared" si="35"/>
        <v>359869.46000000008</v>
      </c>
    </row>
    <row r="204" spans="1:14" ht="12.75" x14ac:dyDescent="0.2">
      <c r="A204" s="34" t="s">
        <v>161</v>
      </c>
      <c r="B204" s="15" t="s">
        <v>90</v>
      </c>
      <c r="C204" s="5" t="s">
        <v>15</v>
      </c>
      <c r="D204" s="21" t="s">
        <v>55</v>
      </c>
      <c r="E204" s="5" t="s">
        <v>186</v>
      </c>
      <c r="F204" s="15"/>
      <c r="G204" s="36">
        <v>550</v>
      </c>
      <c r="H204" s="10">
        <v>7977.364453823483</v>
      </c>
      <c r="I204" s="10">
        <f t="shared" si="36"/>
        <v>4387550.45</v>
      </c>
      <c r="J204" s="2">
        <f t="shared" si="33"/>
        <v>365629.2</v>
      </c>
      <c r="K204" s="3"/>
      <c r="L204" s="3">
        <f t="shared" si="34"/>
        <v>-10968.88</v>
      </c>
      <c r="M204" s="3">
        <v>-146415.41999999998</v>
      </c>
      <c r="N204" s="5">
        <f t="shared" si="35"/>
        <v>208244.90000000002</v>
      </c>
    </row>
    <row r="205" spans="1:14" ht="12.75" x14ac:dyDescent="0.2">
      <c r="A205" s="34" t="s">
        <v>161</v>
      </c>
      <c r="B205" s="15" t="s">
        <v>90</v>
      </c>
      <c r="C205" s="5" t="s">
        <v>15</v>
      </c>
      <c r="D205" s="21" t="s">
        <v>56</v>
      </c>
      <c r="E205" s="5" t="s">
        <v>187</v>
      </c>
      <c r="F205" s="15"/>
      <c r="G205" s="36">
        <v>239</v>
      </c>
      <c r="H205" s="10">
        <v>7977.364453823483</v>
      </c>
      <c r="I205" s="10">
        <f t="shared" si="36"/>
        <v>1906590.1</v>
      </c>
      <c r="J205" s="2">
        <f t="shared" si="33"/>
        <v>158882.51</v>
      </c>
      <c r="K205" s="3"/>
      <c r="L205" s="3">
        <f t="shared" si="34"/>
        <v>-4766.4799999999996</v>
      </c>
      <c r="M205" s="3"/>
      <c r="N205" s="5">
        <f t="shared" si="35"/>
        <v>154116.03</v>
      </c>
    </row>
    <row r="206" spans="1:14" ht="12.75" x14ac:dyDescent="0.2">
      <c r="A206" s="34" t="s">
        <v>161</v>
      </c>
      <c r="B206" s="15" t="s">
        <v>90</v>
      </c>
      <c r="C206" s="1" t="s">
        <v>15</v>
      </c>
      <c r="D206" s="22" t="s">
        <v>79</v>
      </c>
      <c r="E206" s="1" t="s">
        <v>77</v>
      </c>
      <c r="F206" s="15"/>
      <c r="G206" s="36">
        <v>590</v>
      </c>
      <c r="H206" s="10">
        <v>7977.364453823483</v>
      </c>
      <c r="I206" s="10">
        <f t="shared" si="36"/>
        <v>4706645.03</v>
      </c>
      <c r="J206" s="2">
        <f t="shared" si="33"/>
        <v>392220.42</v>
      </c>
      <c r="K206" s="3"/>
      <c r="L206" s="3">
        <f t="shared" si="34"/>
        <v>-11766.61</v>
      </c>
      <c r="M206" s="3"/>
      <c r="N206" s="5">
        <f t="shared" si="35"/>
        <v>380453.81</v>
      </c>
    </row>
    <row r="207" spans="1:14" ht="12.75" x14ac:dyDescent="0.2">
      <c r="A207" s="34" t="s">
        <v>161</v>
      </c>
      <c r="B207" s="15" t="s">
        <v>90</v>
      </c>
      <c r="C207" s="1" t="s">
        <v>15</v>
      </c>
      <c r="D207" s="22" t="s">
        <v>54</v>
      </c>
      <c r="E207" s="1" t="s">
        <v>17</v>
      </c>
      <c r="F207" s="15"/>
      <c r="G207" s="36">
        <v>404</v>
      </c>
      <c r="H207" s="10">
        <v>7977.364453823483</v>
      </c>
      <c r="I207" s="10">
        <f t="shared" si="36"/>
        <v>3222855.24</v>
      </c>
      <c r="J207" s="2">
        <f t="shared" si="33"/>
        <v>268571.27</v>
      </c>
      <c r="K207" s="3"/>
      <c r="L207" s="3">
        <f t="shared" si="34"/>
        <v>-8057.14</v>
      </c>
      <c r="M207" s="3">
        <v>-42500</v>
      </c>
      <c r="N207" s="5">
        <f t="shared" si="35"/>
        <v>218014.13</v>
      </c>
    </row>
    <row r="208" spans="1:14" ht="12.75" x14ac:dyDescent="0.2">
      <c r="A208" s="34" t="s">
        <v>161</v>
      </c>
      <c r="B208" s="15" t="s">
        <v>90</v>
      </c>
      <c r="C208" s="1" t="s">
        <v>15</v>
      </c>
      <c r="D208" s="22" t="s">
        <v>114</v>
      </c>
      <c r="E208" s="1" t="s">
        <v>124</v>
      </c>
      <c r="F208" s="15"/>
      <c r="G208" s="36">
        <v>192</v>
      </c>
      <c r="H208" s="10">
        <v>7977.364453823483</v>
      </c>
      <c r="I208" s="10">
        <f t="shared" si="36"/>
        <v>1531653.98</v>
      </c>
      <c r="J208" s="2">
        <f t="shared" si="33"/>
        <v>127637.83</v>
      </c>
      <c r="K208" s="3"/>
      <c r="L208" s="3">
        <f t="shared" si="34"/>
        <v>-3829.13</v>
      </c>
      <c r="M208" s="3"/>
      <c r="N208" s="5">
        <f t="shared" si="35"/>
        <v>123808.7</v>
      </c>
    </row>
    <row r="209" spans="1:14" ht="12.75" x14ac:dyDescent="0.2">
      <c r="A209" s="34" t="s">
        <v>161</v>
      </c>
      <c r="B209" s="15" t="s">
        <v>90</v>
      </c>
      <c r="C209" s="1" t="s">
        <v>15</v>
      </c>
      <c r="D209" s="22" t="s">
        <v>118</v>
      </c>
      <c r="E209" s="4" t="s">
        <v>119</v>
      </c>
      <c r="G209" s="36">
        <v>263</v>
      </c>
      <c r="H209" s="10">
        <v>7977.364453823483</v>
      </c>
      <c r="I209" s="10">
        <f t="shared" si="36"/>
        <v>2098046.85</v>
      </c>
      <c r="J209" s="2">
        <f t="shared" si="33"/>
        <v>174837.24</v>
      </c>
      <c r="K209" s="3"/>
      <c r="L209" s="3">
        <f t="shared" si="34"/>
        <v>-5245.12</v>
      </c>
      <c r="M209" s="3"/>
      <c r="N209" s="5">
        <f t="shared" si="35"/>
        <v>169592.12</v>
      </c>
    </row>
    <row r="210" spans="1:14" ht="12.75" x14ac:dyDescent="0.2">
      <c r="A210" s="34" t="s">
        <v>161</v>
      </c>
      <c r="B210" s="15" t="s">
        <v>90</v>
      </c>
      <c r="C210" s="1" t="s">
        <v>15</v>
      </c>
      <c r="D210" s="22" t="s">
        <v>58</v>
      </c>
      <c r="E210" s="1" t="s">
        <v>188</v>
      </c>
      <c r="G210" s="36">
        <v>324</v>
      </c>
      <c r="H210" s="10">
        <v>7977.364453823483</v>
      </c>
      <c r="I210" s="10">
        <f t="shared" si="36"/>
        <v>2584666.08</v>
      </c>
      <c r="J210" s="2">
        <f t="shared" si="33"/>
        <v>215388.84</v>
      </c>
      <c r="K210" s="3"/>
      <c r="L210" s="3">
        <f t="shared" si="34"/>
        <v>-6461.67</v>
      </c>
      <c r="M210" s="3">
        <v>-17523.79</v>
      </c>
      <c r="N210" s="5">
        <f t="shared" si="35"/>
        <v>191403.37999999998</v>
      </c>
    </row>
    <row r="211" spans="1:14" ht="12.75" x14ac:dyDescent="0.2">
      <c r="A211" s="34" t="s">
        <v>161</v>
      </c>
      <c r="B211" s="15" t="s">
        <v>90</v>
      </c>
      <c r="C211" s="1" t="s">
        <v>15</v>
      </c>
      <c r="D211" s="22" t="s">
        <v>71</v>
      </c>
      <c r="E211" s="4" t="s">
        <v>70</v>
      </c>
      <c r="G211" s="36">
        <v>70</v>
      </c>
      <c r="H211" s="10">
        <v>7977.364453823483</v>
      </c>
      <c r="I211" s="10">
        <f t="shared" si="36"/>
        <v>558415.51</v>
      </c>
      <c r="J211" s="2">
        <f t="shared" si="33"/>
        <v>46534.63</v>
      </c>
      <c r="K211" s="3"/>
      <c r="L211" s="3">
        <f t="shared" si="34"/>
        <v>-1396.04</v>
      </c>
      <c r="M211" s="3"/>
      <c r="N211" s="5">
        <f t="shared" si="35"/>
        <v>45138.59</v>
      </c>
    </row>
    <row r="212" spans="1:14" ht="12.75" x14ac:dyDescent="0.2">
      <c r="A212" s="34" t="s">
        <v>161</v>
      </c>
      <c r="B212" s="15" t="s">
        <v>90</v>
      </c>
      <c r="C212" s="7" t="s">
        <v>15</v>
      </c>
      <c r="D212" s="21" t="s">
        <v>57</v>
      </c>
      <c r="E212" s="7" t="s">
        <v>32</v>
      </c>
      <c r="G212" s="36">
        <v>327.62</v>
      </c>
      <c r="H212" s="10">
        <v>7977.364453823483</v>
      </c>
      <c r="I212" s="10">
        <f t="shared" si="36"/>
        <v>2613544.14</v>
      </c>
      <c r="J212" s="2">
        <f t="shared" si="33"/>
        <v>217795.35</v>
      </c>
      <c r="K212" s="3"/>
      <c r="L212" s="3">
        <f t="shared" si="34"/>
        <v>-6533.86</v>
      </c>
      <c r="M212" s="3"/>
      <c r="N212" s="5">
        <f t="shared" si="35"/>
        <v>211261.49000000002</v>
      </c>
    </row>
    <row r="213" spans="1:14" ht="12.75" x14ac:dyDescent="0.2">
      <c r="A213" s="34" t="s">
        <v>161</v>
      </c>
      <c r="B213" s="15" t="s">
        <v>90</v>
      </c>
      <c r="C213" s="1" t="s">
        <v>15</v>
      </c>
      <c r="D213" s="21" t="s">
        <v>53</v>
      </c>
      <c r="E213" s="1" t="s">
        <v>189</v>
      </c>
      <c r="G213" s="36">
        <v>907</v>
      </c>
      <c r="H213" s="10">
        <v>7977.364453823483</v>
      </c>
      <c r="I213" s="10">
        <f t="shared" si="36"/>
        <v>7235469.5599999996</v>
      </c>
      <c r="J213" s="2">
        <f t="shared" si="33"/>
        <v>602955.80000000005</v>
      </c>
      <c r="K213" s="3"/>
      <c r="L213" s="3">
        <f t="shared" si="34"/>
        <v>-18088.669999999998</v>
      </c>
      <c r="M213" s="3">
        <v>-63255.23</v>
      </c>
      <c r="N213" s="5">
        <f t="shared" si="35"/>
        <v>521611.9</v>
      </c>
    </row>
    <row r="214" spans="1:14" ht="12.75" x14ac:dyDescent="0.2">
      <c r="A214" s="35" t="s">
        <v>157</v>
      </c>
      <c r="B214" s="13" t="s">
        <v>87</v>
      </c>
      <c r="C214" s="5" t="s">
        <v>87</v>
      </c>
      <c r="D214" s="21" t="s">
        <v>173</v>
      </c>
      <c r="E214" s="5" t="s">
        <v>190</v>
      </c>
      <c r="G214" s="36">
        <v>633.79999999999995</v>
      </c>
      <c r="H214" s="10">
        <v>7760.0841571334395</v>
      </c>
      <c r="I214" s="10">
        <f t="shared" si="36"/>
        <v>4918341.34</v>
      </c>
      <c r="J214" s="2">
        <f t="shared" si="33"/>
        <v>409861.78</v>
      </c>
      <c r="K214" s="3"/>
      <c r="L214" s="3">
        <f t="shared" si="34"/>
        <v>-12295.85</v>
      </c>
      <c r="M214" s="3"/>
      <c r="N214" s="5">
        <f t="shared" si="35"/>
        <v>397565.93000000005</v>
      </c>
    </row>
    <row r="215" spans="1:14" ht="12.75" x14ac:dyDescent="0.2">
      <c r="A215" s="35" t="s">
        <v>157</v>
      </c>
      <c r="B215" s="13" t="s">
        <v>87</v>
      </c>
      <c r="C215" s="1" t="s">
        <v>87</v>
      </c>
      <c r="D215" s="22" t="s">
        <v>51</v>
      </c>
      <c r="E215" s="1" t="s">
        <v>191</v>
      </c>
      <c r="G215" s="36">
        <v>840</v>
      </c>
      <c r="H215" s="10">
        <v>7760.0841571334395</v>
      </c>
      <c r="I215" s="10">
        <f t="shared" si="36"/>
        <v>6518470.6900000004</v>
      </c>
      <c r="J215" s="2">
        <f t="shared" si="33"/>
        <v>543205.89</v>
      </c>
      <c r="K215" s="3"/>
      <c r="L215" s="3">
        <f t="shared" si="34"/>
        <v>-16296.18</v>
      </c>
      <c r="M215" s="3">
        <v>-73961.25</v>
      </c>
      <c r="N215" s="5">
        <f t="shared" si="35"/>
        <v>452948.45999999996</v>
      </c>
    </row>
    <row r="216" spans="1:14" ht="12.75" x14ac:dyDescent="0.2">
      <c r="A216" s="35" t="s">
        <v>165</v>
      </c>
      <c r="B216" s="13" t="s">
        <v>91</v>
      </c>
      <c r="C216" s="7" t="s">
        <v>21</v>
      </c>
      <c r="D216" s="22" t="s">
        <v>61</v>
      </c>
      <c r="E216" s="7" t="s">
        <v>192</v>
      </c>
      <c r="G216" s="36">
        <v>192</v>
      </c>
      <c r="H216" s="10">
        <v>8011.8374864182242</v>
      </c>
      <c r="I216" s="10">
        <f t="shared" si="36"/>
        <v>1538272.8</v>
      </c>
      <c r="J216" s="2">
        <f t="shared" si="33"/>
        <v>128189.4</v>
      </c>
      <c r="K216" s="3"/>
      <c r="L216" s="3">
        <f t="shared" si="34"/>
        <v>-3845.68</v>
      </c>
      <c r="M216" s="3"/>
      <c r="N216" s="5">
        <f t="shared" si="35"/>
        <v>124343.72</v>
      </c>
    </row>
    <row r="217" spans="1:14" ht="12.75" x14ac:dyDescent="0.2">
      <c r="A217" s="35" t="s">
        <v>165</v>
      </c>
      <c r="B217" s="13" t="s">
        <v>91</v>
      </c>
      <c r="C217" s="5" t="s">
        <v>21</v>
      </c>
      <c r="D217" s="21" t="s">
        <v>62</v>
      </c>
      <c r="E217" s="5" t="s">
        <v>23</v>
      </c>
      <c r="G217" s="36">
        <v>242.5</v>
      </c>
      <c r="H217" s="10">
        <v>8011.8374864182242</v>
      </c>
      <c r="I217" s="10">
        <f t="shared" si="36"/>
        <v>1942870.59</v>
      </c>
      <c r="J217" s="2">
        <f t="shared" si="33"/>
        <v>161905.88</v>
      </c>
      <c r="K217" s="3"/>
      <c r="L217" s="3">
        <f t="shared" si="34"/>
        <v>-4857.18</v>
      </c>
      <c r="M217" s="3"/>
      <c r="N217" s="5">
        <f t="shared" si="35"/>
        <v>157048.70000000001</v>
      </c>
    </row>
    <row r="218" spans="1:14" ht="12.75" x14ac:dyDescent="0.2">
      <c r="A218" s="35" t="s">
        <v>158</v>
      </c>
      <c r="B218" s="13" t="s">
        <v>13</v>
      </c>
      <c r="C218" s="5" t="s">
        <v>13</v>
      </c>
      <c r="D218" s="21" t="s">
        <v>52</v>
      </c>
      <c r="E218" s="5" t="s">
        <v>193</v>
      </c>
      <c r="G218" s="36">
        <v>315</v>
      </c>
      <c r="H218" s="10">
        <v>8335.6055726040868</v>
      </c>
      <c r="I218" s="10">
        <f t="shared" si="36"/>
        <v>2625715.7599999998</v>
      </c>
      <c r="J218" s="2">
        <f t="shared" si="33"/>
        <v>218809.65</v>
      </c>
      <c r="K218" s="3"/>
      <c r="L218" s="3">
        <f t="shared" si="34"/>
        <v>-6564.29</v>
      </c>
      <c r="M218" s="3"/>
      <c r="N218" s="5">
        <f t="shared" si="35"/>
        <v>212245.36</v>
      </c>
    </row>
    <row r="219" spans="1:14" ht="12.75" x14ac:dyDescent="0.2">
      <c r="A219" s="35" t="s">
        <v>164</v>
      </c>
      <c r="B219" s="13" t="s">
        <v>84</v>
      </c>
      <c r="C219" s="1" t="s">
        <v>84</v>
      </c>
      <c r="D219" s="22" t="s">
        <v>96</v>
      </c>
      <c r="E219" s="1" t="s">
        <v>83</v>
      </c>
      <c r="G219" s="36">
        <v>689.64</v>
      </c>
      <c r="H219" s="10">
        <v>7890.111859375209</v>
      </c>
      <c r="I219" s="10">
        <f t="shared" si="36"/>
        <v>5441336.7400000002</v>
      </c>
      <c r="J219" s="2">
        <f t="shared" si="33"/>
        <v>453444.73</v>
      </c>
      <c r="K219" s="3"/>
      <c r="L219" s="3">
        <f t="shared" si="34"/>
        <v>-13603.34</v>
      </c>
      <c r="M219" s="3">
        <v>-52789.46</v>
      </c>
      <c r="N219" s="5">
        <f t="shared" si="35"/>
        <v>387051.92999999993</v>
      </c>
    </row>
    <row r="220" spans="1:14" ht="12.75" x14ac:dyDescent="0.2">
      <c r="A220" s="35" t="s">
        <v>168</v>
      </c>
      <c r="B220" s="13" t="s">
        <v>88</v>
      </c>
      <c r="C220" s="1" t="s">
        <v>25</v>
      </c>
      <c r="D220" s="22" t="s">
        <v>65</v>
      </c>
      <c r="E220" s="1" t="s">
        <v>26</v>
      </c>
      <c r="G220" s="36">
        <v>864</v>
      </c>
      <c r="H220" s="10">
        <v>7661.9794243650758</v>
      </c>
      <c r="I220" s="10">
        <f t="shared" si="36"/>
        <v>6619950.2199999997</v>
      </c>
      <c r="J220" s="2">
        <f t="shared" si="33"/>
        <v>551662.52</v>
      </c>
      <c r="K220" s="3"/>
      <c r="L220" s="3">
        <f t="shared" si="34"/>
        <v>-16549.88</v>
      </c>
      <c r="M220" s="3">
        <v>-110980.84</v>
      </c>
      <c r="N220" s="5">
        <f t="shared" si="35"/>
        <v>424131.80000000005</v>
      </c>
    </row>
    <row r="221" spans="1:14" ht="12.75" x14ac:dyDescent="0.2">
      <c r="A221" s="35" t="s">
        <v>168</v>
      </c>
      <c r="B221" s="13" t="s">
        <v>88</v>
      </c>
      <c r="C221" s="1" t="s">
        <v>25</v>
      </c>
      <c r="D221" s="22" t="s">
        <v>81</v>
      </c>
      <c r="E221" s="1" t="s">
        <v>194</v>
      </c>
      <c r="G221" s="36">
        <v>61</v>
      </c>
      <c r="H221" s="10">
        <v>7661.9794243650758</v>
      </c>
      <c r="I221" s="10">
        <f t="shared" si="36"/>
        <v>467380.74</v>
      </c>
      <c r="J221" s="2">
        <f t="shared" si="33"/>
        <v>38948.400000000001</v>
      </c>
      <c r="K221" s="3"/>
      <c r="L221" s="3">
        <f t="shared" si="34"/>
        <v>-1168.45</v>
      </c>
      <c r="M221" s="3"/>
      <c r="N221" s="5">
        <f t="shared" si="35"/>
        <v>37779.950000000004</v>
      </c>
    </row>
    <row r="222" spans="1:14" ht="12.75" x14ac:dyDescent="0.2">
      <c r="A222" s="35" t="s">
        <v>166</v>
      </c>
      <c r="B222" s="13" t="s">
        <v>92</v>
      </c>
      <c r="C222" s="1" t="s">
        <v>24</v>
      </c>
      <c r="D222" s="22" t="s">
        <v>63</v>
      </c>
      <c r="E222" s="1" t="s">
        <v>195</v>
      </c>
      <c r="G222" s="36">
        <v>195.24</v>
      </c>
      <c r="H222" s="10">
        <v>7662.0914110189869</v>
      </c>
      <c r="I222" s="10">
        <f t="shared" si="36"/>
        <v>1495946.73</v>
      </c>
      <c r="J222" s="2">
        <f t="shared" si="33"/>
        <v>124662.23</v>
      </c>
      <c r="K222" s="3"/>
      <c r="L222" s="3">
        <f t="shared" si="34"/>
        <v>-3739.87</v>
      </c>
      <c r="M222" s="3"/>
      <c r="N222" s="5">
        <f t="shared" si="35"/>
        <v>120922.36</v>
      </c>
    </row>
    <row r="223" spans="1:14" ht="12.75" x14ac:dyDescent="0.2">
      <c r="A223" s="35" t="s">
        <v>166</v>
      </c>
      <c r="B223" s="13" t="s">
        <v>92</v>
      </c>
      <c r="C223" s="1" t="s">
        <v>24</v>
      </c>
      <c r="D223" s="22" t="s">
        <v>174</v>
      </c>
      <c r="E223" s="1" t="s">
        <v>196</v>
      </c>
      <c r="G223" s="36">
        <v>225</v>
      </c>
      <c r="H223" s="10">
        <v>7662.0914110189869</v>
      </c>
      <c r="I223" s="10">
        <f t="shared" si="36"/>
        <v>1723970.57</v>
      </c>
      <c r="J223" s="2">
        <f t="shared" si="33"/>
        <v>143664.21</v>
      </c>
      <c r="K223" s="3"/>
      <c r="L223" s="3">
        <f t="shared" si="34"/>
        <v>-4309.93</v>
      </c>
      <c r="M223" s="3"/>
      <c r="N223" s="5">
        <f t="shared" si="35"/>
        <v>139354.28</v>
      </c>
    </row>
    <row r="224" spans="1:14" ht="12.75" x14ac:dyDescent="0.2">
      <c r="A224" s="35" t="s">
        <v>166</v>
      </c>
      <c r="B224" s="13" t="s">
        <v>92</v>
      </c>
      <c r="C224" s="1" t="s">
        <v>24</v>
      </c>
      <c r="D224" s="22" t="s">
        <v>115</v>
      </c>
      <c r="E224" s="1" t="s">
        <v>120</v>
      </c>
      <c r="G224" s="36">
        <v>166</v>
      </c>
      <c r="H224" s="10">
        <v>7662.0914110189869</v>
      </c>
      <c r="I224" s="10">
        <f t="shared" si="36"/>
        <v>1271907.17</v>
      </c>
      <c r="J224" s="2">
        <f t="shared" si="33"/>
        <v>105992.26</v>
      </c>
      <c r="K224" s="3"/>
      <c r="L224" s="3">
        <f t="shared" si="34"/>
        <v>-3179.77</v>
      </c>
      <c r="M224" s="3"/>
      <c r="N224" s="5">
        <f t="shared" si="35"/>
        <v>102812.48999999999</v>
      </c>
    </row>
    <row r="225" spans="1:14" ht="12.75" x14ac:dyDescent="0.2">
      <c r="A225" s="35" t="s">
        <v>166</v>
      </c>
      <c r="B225" s="13" t="s">
        <v>92</v>
      </c>
      <c r="C225" s="1" t="s">
        <v>24</v>
      </c>
      <c r="D225" s="22" t="s">
        <v>117</v>
      </c>
      <c r="E225" s="1" t="s">
        <v>197</v>
      </c>
      <c r="G225" s="36">
        <v>234.5</v>
      </c>
      <c r="H225" s="10">
        <v>7662.0914110189869</v>
      </c>
      <c r="I225" s="10">
        <f t="shared" si="36"/>
        <v>1796760.44</v>
      </c>
      <c r="J225" s="2">
        <f t="shared" si="33"/>
        <v>149730.04</v>
      </c>
      <c r="K225" s="3"/>
      <c r="L225" s="3">
        <f t="shared" si="34"/>
        <v>-4491.8999999999996</v>
      </c>
      <c r="M225" s="3"/>
      <c r="N225" s="5">
        <f t="shared" si="35"/>
        <v>145238.14000000001</v>
      </c>
    </row>
    <row r="226" spans="1:14" ht="12.75" x14ac:dyDescent="0.2">
      <c r="A226" s="35" t="s">
        <v>166</v>
      </c>
      <c r="B226" s="13" t="s">
        <v>92</v>
      </c>
      <c r="C226" s="1" t="s">
        <v>24</v>
      </c>
      <c r="D226" s="22" t="s">
        <v>64</v>
      </c>
      <c r="E226" s="1" t="s">
        <v>198</v>
      </c>
      <c r="G226" s="36">
        <v>1305</v>
      </c>
      <c r="H226" s="10">
        <v>7662.0914110189869</v>
      </c>
      <c r="I226" s="10">
        <f t="shared" si="36"/>
        <v>9999029.2899999991</v>
      </c>
      <c r="J226" s="2">
        <f t="shared" si="33"/>
        <v>833252.44</v>
      </c>
      <c r="K226" s="3"/>
      <c r="L226" s="3">
        <f t="shared" si="34"/>
        <v>-24997.57</v>
      </c>
      <c r="M226" s="3">
        <v>-160915</v>
      </c>
      <c r="N226" s="5">
        <f t="shared" si="35"/>
        <v>647339.87</v>
      </c>
    </row>
    <row r="227" spans="1:14" ht="12.75" x14ac:dyDescent="0.2">
      <c r="A227" s="35" t="s">
        <v>166</v>
      </c>
      <c r="B227" s="13" t="s">
        <v>92</v>
      </c>
      <c r="C227" s="1" t="s">
        <v>24</v>
      </c>
      <c r="D227" s="22" t="s">
        <v>116</v>
      </c>
      <c r="E227" s="1" t="s">
        <v>199</v>
      </c>
      <c r="G227" s="36">
        <v>100</v>
      </c>
      <c r="H227" s="10">
        <v>7662.0914110189869</v>
      </c>
      <c r="I227" s="10">
        <f t="shared" si="36"/>
        <v>766209.14</v>
      </c>
      <c r="J227" s="2">
        <f t="shared" si="33"/>
        <v>63850.76</v>
      </c>
      <c r="K227" s="3"/>
      <c r="L227" s="3">
        <f t="shared" si="34"/>
        <v>-1915.52</v>
      </c>
      <c r="M227" s="3"/>
      <c r="N227" s="5">
        <f t="shared" si="35"/>
        <v>61935.240000000005</v>
      </c>
    </row>
    <row r="228" spans="1:14" ht="12.75" x14ac:dyDescent="0.2">
      <c r="A228" s="35" t="s">
        <v>162</v>
      </c>
      <c r="B228" s="13" t="s">
        <v>93</v>
      </c>
      <c r="C228" s="5" t="s">
        <v>19</v>
      </c>
      <c r="D228" s="21" t="s">
        <v>59</v>
      </c>
      <c r="E228" s="5" t="s">
        <v>200</v>
      </c>
      <c r="G228" s="36">
        <v>300</v>
      </c>
      <c r="H228" s="10">
        <v>8343.713781491635</v>
      </c>
      <c r="I228" s="10">
        <f t="shared" si="36"/>
        <v>2503114.13</v>
      </c>
      <c r="J228" s="2">
        <f t="shared" si="33"/>
        <v>208592.84</v>
      </c>
      <c r="K228" s="3"/>
      <c r="L228" s="3">
        <f t="shared" si="34"/>
        <v>-6257.79</v>
      </c>
      <c r="M228" s="3"/>
      <c r="N228" s="5">
        <f t="shared" si="35"/>
        <v>202335.05</v>
      </c>
    </row>
    <row r="229" spans="1:14" ht="12.75" x14ac:dyDescent="0.2">
      <c r="A229" s="35" t="s">
        <v>162</v>
      </c>
      <c r="B229" s="13" t="s">
        <v>93</v>
      </c>
      <c r="C229" s="7" t="s">
        <v>19</v>
      </c>
      <c r="D229" s="22" t="s">
        <v>60</v>
      </c>
      <c r="E229" s="7" t="s">
        <v>201</v>
      </c>
      <c r="G229" s="36">
        <v>363</v>
      </c>
      <c r="H229" s="10">
        <v>8343.713781491635</v>
      </c>
      <c r="I229" s="10">
        <f t="shared" si="36"/>
        <v>3028768.1</v>
      </c>
      <c r="J229" s="2">
        <f t="shared" si="33"/>
        <v>252397.34</v>
      </c>
      <c r="K229" s="3"/>
      <c r="L229" s="3">
        <f t="shared" si="34"/>
        <v>-7571.92</v>
      </c>
      <c r="M229" s="3">
        <v>-42338.5</v>
      </c>
      <c r="N229" s="5">
        <f t="shared" si="35"/>
        <v>202486.91999999998</v>
      </c>
    </row>
    <row r="230" spans="1:14" ht="12.75" x14ac:dyDescent="0.2">
      <c r="A230" s="35" t="s">
        <v>156</v>
      </c>
      <c r="B230" s="13" t="s">
        <v>94</v>
      </c>
      <c r="C230" s="5" t="s">
        <v>40</v>
      </c>
      <c r="D230" s="21" t="s">
        <v>82</v>
      </c>
      <c r="E230" s="5" t="s">
        <v>202</v>
      </c>
      <c r="G230" s="36">
        <v>86</v>
      </c>
      <c r="H230" s="10">
        <v>7939.791327137541</v>
      </c>
      <c r="I230" s="10">
        <f t="shared" si="36"/>
        <v>682822.05</v>
      </c>
      <c r="J230" s="2">
        <f t="shared" si="33"/>
        <v>56901.84</v>
      </c>
      <c r="K230" s="3"/>
      <c r="L230" s="3">
        <f t="shared" si="34"/>
        <v>-1707.06</v>
      </c>
      <c r="M230" s="3"/>
      <c r="N230" s="5">
        <f t="shared" si="35"/>
        <v>55194.78</v>
      </c>
    </row>
    <row r="231" spans="1:14" ht="12.75" x14ac:dyDescent="0.2">
      <c r="A231" s="35" t="s">
        <v>169</v>
      </c>
      <c r="B231" s="13" t="s">
        <v>95</v>
      </c>
      <c r="C231" s="5" t="s">
        <v>175</v>
      </c>
      <c r="D231" s="21" t="s">
        <v>74</v>
      </c>
      <c r="E231" s="5" t="s">
        <v>203</v>
      </c>
      <c r="G231" s="36">
        <v>133</v>
      </c>
      <c r="H231" s="10">
        <v>7996.3401805053491</v>
      </c>
      <c r="I231" s="10">
        <f t="shared" si="36"/>
        <v>1063513.24</v>
      </c>
      <c r="J231" s="2">
        <f t="shared" si="33"/>
        <v>88626.1</v>
      </c>
      <c r="K231" s="3"/>
      <c r="L231" s="3">
        <f t="shared" si="34"/>
        <v>-2658.78</v>
      </c>
      <c r="M231" s="3"/>
      <c r="N231" s="5">
        <f t="shared" si="35"/>
        <v>85967.32</v>
      </c>
    </row>
    <row r="232" spans="1:14" ht="12.75" x14ac:dyDescent="0.2">
      <c r="A232" s="35" t="s">
        <v>152</v>
      </c>
      <c r="B232" s="13" t="s">
        <v>86</v>
      </c>
      <c r="C232" s="5" t="s">
        <v>176</v>
      </c>
      <c r="D232" s="21" t="s">
        <v>67</v>
      </c>
      <c r="E232" s="5" t="s">
        <v>204</v>
      </c>
      <c r="G232" s="36">
        <v>470</v>
      </c>
      <c r="H232" s="10">
        <v>8563.2744493222235</v>
      </c>
      <c r="I232" s="10">
        <f t="shared" si="36"/>
        <v>4024738.99</v>
      </c>
      <c r="J232" s="2">
        <f t="shared" si="33"/>
        <v>335394.92</v>
      </c>
      <c r="K232" s="3"/>
      <c r="L232" s="3">
        <f t="shared" si="34"/>
        <v>-10061.85</v>
      </c>
      <c r="M232" s="3">
        <v>-30605.38</v>
      </c>
      <c r="N232" s="5">
        <f t="shared" si="35"/>
        <v>294727.69</v>
      </c>
    </row>
    <row r="233" spans="1:14" x14ac:dyDescent="0.25">
      <c r="A233" s="35" t="s">
        <v>152</v>
      </c>
      <c r="B233" s="13" t="s">
        <v>86</v>
      </c>
      <c r="C233" s="6" t="s">
        <v>176</v>
      </c>
      <c r="D233" t="s">
        <v>47</v>
      </c>
      <c r="E233" s="6" t="s">
        <v>205</v>
      </c>
      <c r="G233" s="36">
        <v>310</v>
      </c>
      <c r="H233" s="10">
        <v>8563.2744493222235</v>
      </c>
      <c r="I233" s="10">
        <f t="shared" si="36"/>
        <v>2654615.08</v>
      </c>
      <c r="J233" s="2">
        <f t="shared" si="33"/>
        <v>221217.92000000001</v>
      </c>
      <c r="K233" s="3"/>
      <c r="L233" s="3">
        <f t="shared" si="34"/>
        <v>-6636.54</v>
      </c>
      <c r="M233" s="3">
        <v>-42638.53</v>
      </c>
      <c r="N233" s="5">
        <f t="shared" si="35"/>
        <v>171942.85</v>
      </c>
    </row>
    <row r="234" spans="1:14" x14ac:dyDescent="0.25">
      <c r="A234" s="35" t="s">
        <v>152</v>
      </c>
      <c r="B234" s="13" t="s">
        <v>86</v>
      </c>
      <c r="C234" s="8" t="s">
        <v>176</v>
      </c>
      <c r="D234" t="s">
        <v>48</v>
      </c>
      <c r="E234" s="8" t="s">
        <v>206</v>
      </c>
      <c r="G234" s="36">
        <v>257.10000000000002</v>
      </c>
      <c r="H234" s="10">
        <v>8563.2744493222235</v>
      </c>
      <c r="I234" s="10">
        <f t="shared" si="36"/>
        <v>2201617.86</v>
      </c>
      <c r="J234" s="2">
        <f t="shared" si="33"/>
        <v>183468.16</v>
      </c>
      <c r="K234" s="3"/>
      <c r="L234" s="3">
        <f t="shared" si="34"/>
        <v>-5504.04</v>
      </c>
      <c r="M234" s="3"/>
      <c r="N234" s="5">
        <f t="shared" si="35"/>
        <v>177964.12</v>
      </c>
    </row>
    <row r="235" spans="1:14" x14ac:dyDescent="0.25">
      <c r="G235" s="9"/>
      <c r="H235" s="6"/>
      <c r="I235" s="6"/>
      <c r="J235" s="6"/>
      <c r="K235" s="6"/>
      <c r="L235" s="6"/>
      <c r="M235" s="6"/>
      <c r="N235" s="6"/>
    </row>
    <row r="236" spans="1:14" x14ac:dyDescent="0.25">
      <c r="G236" s="16">
        <f>SUM(G195:G235)</f>
        <v>19037.5</v>
      </c>
      <c r="H236" s="8"/>
      <c r="I236" s="16">
        <f t="shared" ref="I236:N236" si="37">SUM(I195:I235)</f>
        <v>152169644.90000004</v>
      </c>
      <c r="J236" s="16">
        <f t="shared" si="37"/>
        <v>12680803.76</v>
      </c>
      <c r="K236" s="8">
        <f t="shared" si="37"/>
        <v>0</v>
      </c>
      <c r="L236" s="8">
        <f t="shared" si="37"/>
        <v>-380424.13</v>
      </c>
      <c r="M236" s="8">
        <f t="shared" si="37"/>
        <v>-1397842.27</v>
      </c>
      <c r="N236" s="16">
        <f t="shared" si="37"/>
        <v>10902537.359999998</v>
      </c>
    </row>
    <row r="239" spans="1:14" ht="12.75" x14ac:dyDescent="0.2">
      <c r="A239" s="17" t="s">
        <v>170</v>
      </c>
      <c r="B239" s="17"/>
      <c r="C239" s="11"/>
      <c r="D239" s="11"/>
      <c r="E239" s="17"/>
      <c r="F239" s="19"/>
      <c r="G239" s="19"/>
      <c r="H239" s="19"/>
      <c r="I239" s="19"/>
      <c r="J239" s="19"/>
      <c r="K239" s="19"/>
      <c r="L239" s="19"/>
      <c r="M239" s="19"/>
      <c r="N239" s="19"/>
    </row>
    <row r="240" spans="1:14" ht="63.75" x14ac:dyDescent="0.2">
      <c r="A240" s="20" t="s">
        <v>211</v>
      </c>
      <c r="B240" s="20"/>
      <c r="C240" s="11"/>
      <c r="D240" s="11" t="s">
        <v>38</v>
      </c>
      <c r="E240" s="17" t="s">
        <v>39</v>
      </c>
      <c r="F240" s="12"/>
      <c r="G240" s="23" t="s">
        <v>0</v>
      </c>
      <c r="H240" s="23" t="s">
        <v>1</v>
      </c>
      <c r="I240" s="23" t="s">
        <v>2</v>
      </c>
      <c r="J240" s="23" t="s">
        <v>3</v>
      </c>
      <c r="K240" s="23" t="s">
        <v>4</v>
      </c>
      <c r="L240" s="23" t="s">
        <v>5</v>
      </c>
      <c r="M240" s="23" t="s">
        <v>28</v>
      </c>
      <c r="N240" s="23" t="s">
        <v>6</v>
      </c>
    </row>
    <row r="241" spans="1:14" x14ac:dyDescent="0.25">
      <c r="C241" s="6"/>
      <c r="E241" s="6"/>
      <c r="F241" s="6"/>
      <c r="G241" s="14"/>
      <c r="H241" s="10"/>
      <c r="I241" s="10"/>
      <c r="J241" s="10"/>
      <c r="K241" s="10"/>
      <c r="L241" s="10"/>
      <c r="M241" s="10"/>
      <c r="N241" s="5"/>
    </row>
    <row r="242" spans="1:14" ht="12.75" x14ac:dyDescent="0.2">
      <c r="A242" s="35" t="s">
        <v>142</v>
      </c>
      <c r="B242" s="13" t="s">
        <v>86</v>
      </c>
      <c r="C242" s="1" t="s">
        <v>172</v>
      </c>
      <c r="D242" s="21" t="s">
        <v>44</v>
      </c>
      <c r="E242" s="1" t="s">
        <v>177</v>
      </c>
      <c r="G242" s="36">
        <f>VLOOKUP(D242,'CSI Counts'!$B$2:$N$56,13,FALSE)</f>
        <v>1860</v>
      </c>
      <c r="H242" s="10">
        <v>7644.03</v>
      </c>
      <c r="I242" s="10">
        <f>ROUND(G242*H242,2)</f>
        <v>14217895.800000001</v>
      </c>
      <c r="J242" s="2">
        <v>1165386.96</v>
      </c>
      <c r="K242" s="3"/>
      <c r="L242" s="3">
        <v>-34961.61</v>
      </c>
      <c r="M242" s="3">
        <v>-120728.75</v>
      </c>
      <c r="N242" s="5">
        <f t="shared" ref="N242:N281" si="38">J242+K242+L242+M242</f>
        <v>1009696.5999999999</v>
      </c>
    </row>
    <row r="243" spans="1:14" ht="12.75" x14ac:dyDescent="0.2">
      <c r="A243" s="35" t="s">
        <v>142</v>
      </c>
      <c r="B243" s="13" t="s">
        <v>86</v>
      </c>
      <c r="C243" s="5" t="s">
        <v>172</v>
      </c>
      <c r="D243" s="21" t="s">
        <v>68</v>
      </c>
      <c r="E243" s="5" t="s">
        <v>178</v>
      </c>
      <c r="G243" s="36">
        <f>VLOOKUP(D243,'CSI Counts'!$B$2:$N$56,13,FALSE)</f>
        <v>828.5</v>
      </c>
      <c r="H243" s="10">
        <v>7775.28</v>
      </c>
      <c r="I243" s="10">
        <f t="shared" ref="I243:I281" si="39">ROUND(G243*H243,2)</f>
        <v>6441819.4800000004</v>
      </c>
      <c r="J243" s="2">
        <f>ROUND((I243-SUM('Entitlement to Date'!E3:I3))/7,2)</f>
        <v>523368.03</v>
      </c>
      <c r="K243" s="3"/>
      <c r="L243" s="3">
        <f>ROUND(((I243*-0.03)-SUM('CSI Admin to Date'!E3:I3))/7,2)</f>
        <v>-15701.04</v>
      </c>
      <c r="M243" s="3">
        <v>-32574.15</v>
      </c>
      <c r="N243" s="5">
        <f t="shared" si="38"/>
        <v>475092.84</v>
      </c>
    </row>
    <row r="244" spans="1:14" ht="12.75" x14ac:dyDescent="0.2">
      <c r="A244" s="35" t="s">
        <v>142</v>
      </c>
      <c r="B244" s="13" t="s">
        <v>86</v>
      </c>
      <c r="C244" s="1" t="s">
        <v>172</v>
      </c>
      <c r="D244" s="22" t="s">
        <v>146</v>
      </c>
      <c r="E244" s="1" t="s">
        <v>179</v>
      </c>
      <c r="G244" s="36">
        <f>VLOOKUP(D244,'CSI Counts'!$B$2:$N$56,13,FALSE)</f>
        <v>2107</v>
      </c>
      <c r="H244" s="10">
        <v>8023.47</v>
      </c>
      <c r="I244" s="10">
        <f t="shared" si="39"/>
        <v>16905451.289999999</v>
      </c>
      <c r="J244" s="2">
        <f>ROUND((I244-SUM('Entitlement to Date'!E4:I4))/7,2)</f>
        <v>1475205.66</v>
      </c>
      <c r="K244" s="3"/>
      <c r="L244" s="3">
        <f>ROUND(((I244*-0.03)-SUM('CSI Admin to Date'!E4:I4))/7,2)</f>
        <v>-44256.17</v>
      </c>
      <c r="M244" s="3">
        <v>-187857.5</v>
      </c>
      <c r="N244" s="5">
        <f t="shared" si="38"/>
        <v>1243091.99</v>
      </c>
    </row>
    <row r="245" spans="1:14" ht="12.75" x14ac:dyDescent="0.2">
      <c r="A245" s="35" t="s">
        <v>153</v>
      </c>
      <c r="B245" s="13" t="s">
        <v>89</v>
      </c>
      <c r="C245" s="5" t="s">
        <v>29</v>
      </c>
      <c r="D245" s="21" t="s">
        <v>80</v>
      </c>
      <c r="E245" s="5" t="s">
        <v>180</v>
      </c>
      <c r="G245" s="36">
        <f>VLOOKUP(D245,'CSI Counts'!$B$2:$N$56,13,FALSE)</f>
        <v>417.5</v>
      </c>
      <c r="H245" s="10">
        <v>8113.97</v>
      </c>
      <c r="I245" s="10">
        <f t="shared" si="39"/>
        <v>3387582.48</v>
      </c>
      <c r="J245" s="2">
        <f>ROUND((I245-SUM('Entitlement to Date'!E5:I5))/7,2)</f>
        <v>289427.03000000003</v>
      </c>
      <c r="K245" s="3"/>
      <c r="L245" s="3">
        <f>ROUND(((I245*-0.03)-SUM('CSI Admin to Date'!E5:I5))/7,2)</f>
        <v>-8682.81</v>
      </c>
      <c r="M245" s="3">
        <v>-69801.570000000007</v>
      </c>
      <c r="N245" s="5">
        <f t="shared" si="38"/>
        <v>210942.65000000002</v>
      </c>
    </row>
    <row r="246" spans="1:14" ht="12.75" x14ac:dyDescent="0.2">
      <c r="A246" s="35" t="s">
        <v>153</v>
      </c>
      <c r="B246" s="13" t="s">
        <v>89</v>
      </c>
      <c r="C246" s="5" t="s">
        <v>29</v>
      </c>
      <c r="D246" s="21" t="s">
        <v>49</v>
      </c>
      <c r="E246" s="5" t="s">
        <v>181</v>
      </c>
      <c r="G246" s="36">
        <f>VLOOKUP(D246,'CSI Counts'!$B$2:$N$56,13,FALSE)</f>
        <v>289</v>
      </c>
      <c r="H246" s="10">
        <v>8181.75</v>
      </c>
      <c r="I246" s="10">
        <f t="shared" si="39"/>
        <v>2364525.75</v>
      </c>
      <c r="J246" s="2">
        <f>ROUND((I246-SUM('Entitlement to Date'!E6:I6))/7,2)</f>
        <v>170767.29</v>
      </c>
      <c r="K246" s="3"/>
      <c r="L246" s="3">
        <f>ROUND(((I246*-0.03)-SUM('CSI Admin to Date'!E6:I6))/7,2)</f>
        <v>-5123.0200000000004</v>
      </c>
      <c r="M246" s="3"/>
      <c r="N246" s="5">
        <f t="shared" si="38"/>
        <v>165644.27000000002</v>
      </c>
    </row>
    <row r="247" spans="1:14" ht="12.75" x14ac:dyDescent="0.2">
      <c r="A247" s="34" t="s">
        <v>153</v>
      </c>
      <c r="B247" s="13" t="s">
        <v>89</v>
      </c>
      <c r="C247" s="5" t="s">
        <v>29</v>
      </c>
      <c r="D247" s="21" t="s">
        <v>50</v>
      </c>
      <c r="E247" s="5" t="s">
        <v>182</v>
      </c>
      <c r="F247" s="15"/>
      <c r="G247" s="36">
        <f>VLOOKUP(D247,'CSI Counts'!$B$2:$N$56,13,FALSE)</f>
        <v>170</v>
      </c>
      <c r="H247" s="10">
        <v>8670.59</v>
      </c>
      <c r="I247" s="10">
        <f t="shared" si="39"/>
        <v>1474000.3</v>
      </c>
      <c r="J247" s="2">
        <f>ROUND((I247-SUM('Entitlement to Date'!E7:I7))/7,2)</f>
        <v>70470.009999999995</v>
      </c>
      <c r="K247" s="3"/>
      <c r="L247" s="3">
        <f>ROUND(((I247*-0.03)-SUM('CSI Admin to Date'!E7:I7))/7,2)</f>
        <v>-2114.1</v>
      </c>
      <c r="M247" s="3"/>
      <c r="N247" s="5">
        <f t="shared" si="38"/>
        <v>68355.909999999989</v>
      </c>
    </row>
    <row r="248" spans="1:14" ht="12.75" x14ac:dyDescent="0.2">
      <c r="A248" s="34" t="s">
        <v>153</v>
      </c>
      <c r="B248" s="13" t="s">
        <v>89</v>
      </c>
      <c r="C248" s="5" t="s">
        <v>29</v>
      </c>
      <c r="D248" s="21" t="s">
        <v>97</v>
      </c>
      <c r="E248" s="5" t="s">
        <v>183</v>
      </c>
      <c r="F248" s="15"/>
      <c r="G248" s="36">
        <f>VLOOKUP(D248,'CSI Counts'!$B$2:$N$56,13,FALSE)</f>
        <v>94</v>
      </c>
      <c r="H248" s="10">
        <v>8891.7900000000009</v>
      </c>
      <c r="I248" s="10">
        <f t="shared" si="39"/>
        <v>835828.26</v>
      </c>
      <c r="J248" s="2">
        <f>ROUND((I248-SUM('Entitlement to Date'!E8:I8))/7,2)</f>
        <v>67015.12</v>
      </c>
      <c r="K248" s="3"/>
      <c r="L248" s="3">
        <f>ROUND(((I248*-0.03)-SUM('CSI Admin to Date'!E8:I8))/7,2)</f>
        <v>-2010.46</v>
      </c>
      <c r="M248" s="3"/>
      <c r="N248" s="5">
        <f t="shared" si="38"/>
        <v>65004.659999999996</v>
      </c>
    </row>
    <row r="249" spans="1:14" ht="12.75" x14ac:dyDescent="0.2">
      <c r="A249" s="34" t="s">
        <v>151</v>
      </c>
      <c r="B249" s="13" t="s">
        <v>86</v>
      </c>
      <c r="C249" s="1" t="s">
        <v>85</v>
      </c>
      <c r="D249" s="22" t="s">
        <v>46</v>
      </c>
      <c r="E249" s="4" t="s">
        <v>184</v>
      </c>
      <c r="F249" s="15"/>
      <c r="G249" s="36">
        <f>VLOOKUP(D249,'CSI Counts'!$B$2:$N$56,13,FALSE)</f>
        <v>688.5</v>
      </c>
      <c r="H249" s="10">
        <v>7879.88</v>
      </c>
      <c r="I249" s="10">
        <f t="shared" si="39"/>
        <v>5425297.3799999999</v>
      </c>
      <c r="J249" s="2">
        <f>ROUND((I249-SUM('Entitlement to Date'!E9:I9))/7,2)</f>
        <v>457307.16</v>
      </c>
      <c r="K249" s="3"/>
      <c r="L249" s="3">
        <f>ROUND(((I249*-0.03)-SUM('CSI Admin to Date'!E9:I9))/7,2)</f>
        <v>-13719.22</v>
      </c>
      <c r="M249" s="3">
        <v>-68529.38</v>
      </c>
      <c r="N249" s="5">
        <f t="shared" si="38"/>
        <v>375058.56</v>
      </c>
    </row>
    <row r="250" spans="1:14" ht="12.75" x14ac:dyDescent="0.2">
      <c r="A250" s="34" t="s">
        <v>147</v>
      </c>
      <c r="B250" s="13" t="s">
        <v>86</v>
      </c>
      <c r="C250" s="5" t="s">
        <v>8</v>
      </c>
      <c r="D250" s="21" t="s">
        <v>45</v>
      </c>
      <c r="E250" s="18" t="s">
        <v>185</v>
      </c>
      <c r="F250" s="15"/>
      <c r="G250" s="36">
        <f>VLOOKUP(D250,'CSI Counts'!$B$2:$N$56,13,FALSE)</f>
        <v>671</v>
      </c>
      <c r="H250" s="10">
        <v>8060.51</v>
      </c>
      <c r="I250" s="10">
        <f t="shared" si="39"/>
        <v>5408602.21</v>
      </c>
      <c r="J250" s="2">
        <f>ROUND((I250-SUM('Entitlement to Date'!E10:I10))/7,2)</f>
        <v>390243.76</v>
      </c>
      <c r="K250" s="3"/>
      <c r="L250" s="3">
        <f>ROUND(((I250*-0.03)-SUM('CSI Admin to Date'!E10:I10))/7,2)</f>
        <v>-11707.31</v>
      </c>
      <c r="M250" s="3">
        <v>-159448.34</v>
      </c>
      <c r="N250" s="5">
        <f t="shared" si="38"/>
        <v>219088.11000000002</v>
      </c>
    </row>
    <row r="251" spans="1:14" ht="12.75" x14ac:dyDescent="0.2">
      <c r="A251" s="34" t="s">
        <v>161</v>
      </c>
      <c r="B251" s="15" t="s">
        <v>90</v>
      </c>
      <c r="C251" s="5" t="s">
        <v>15</v>
      </c>
      <c r="D251" s="21" t="s">
        <v>55</v>
      </c>
      <c r="E251" s="5" t="s">
        <v>186</v>
      </c>
      <c r="F251" s="15"/>
      <c r="G251" s="36">
        <f>VLOOKUP(D251,'CSI Counts'!$B$2:$N$56,13,FALSE)</f>
        <v>540</v>
      </c>
      <c r="H251" s="10">
        <v>7587.9</v>
      </c>
      <c r="I251" s="10">
        <f t="shared" si="39"/>
        <v>4097466</v>
      </c>
      <c r="J251" s="2">
        <f>ROUND((I251-SUM('Entitlement to Date'!E11:I11))/7,2)</f>
        <v>324188.57</v>
      </c>
      <c r="K251" s="3"/>
      <c r="L251" s="3">
        <f>ROUND(((I251*-0.03)-SUM('CSI Admin to Date'!E11:I11))/7,2)</f>
        <v>-9725.65</v>
      </c>
      <c r="M251" s="3">
        <v>-146415.41999999998</v>
      </c>
      <c r="N251" s="5">
        <f t="shared" si="38"/>
        <v>168047.5</v>
      </c>
    </row>
    <row r="252" spans="1:14" ht="12.75" x14ac:dyDescent="0.2">
      <c r="A252" s="34" t="s">
        <v>161</v>
      </c>
      <c r="B252" s="15" t="s">
        <v>90</v>
      </c>
      <c r="C252" s="5" t="s">
        <v>15</v>
      </c>
      <c r="D252" s="21" t="s">
        <v>56</v>
      </c>
      <c r="E252" s="5" t="s">
        <v>187</v>
      </c>
      <c r="F252" s="15"/>
      <c r="G252" s="36">
        <f>VLOOKUP(D252,'CSI Counts'!$B$2:$N$56,13,FALSE)</f>
        <v>248.5</v>
      </c>
      <c r="H252" s="10">
        <v>7664.8</v>
      </c>
      <c r="I252" s="10">
        <f t="shared" si="39"/>
        <v>1904702.8</v>
      </c>
      <c r="J252" s="2">
        <f>ROUND((I252-SUM('Entitlement to Date'!E12:I12))/7,2)</f>
        <v>158612.89000000001</v>
      </c>
      <c r="K252" s="3"/>
      <c r="L252" s="3">
        <f>ROUND(((I252*-0.03)-SUM('CSI Admin to Date'!E12:I12))/7,2)</f>
        <v>-4758.38</v>
      </c>
      <c r="M252" s="3"/>
      <c r="N252" s="5">
        <f t="shared" si="38"/>
        <v>153854.51</v>
      </c>
    </row>
    <row r="253" spans="1:14" ht="12.75" x14ac:dyDescent="0.2">
      <c r="A253" s="34" t="s">
        <v>161</v>
      </c>
      <c r="B253" s="15" t="s">
        <v>90</v>
      </c>
      <c r="C253" s="1" t="s">
        <v>15</v>
      </c>
      <c r="D253" s="22" t="s">
        <v>79</v>
      </c>
      <c r="E253" s="1" t="s">
        <v>77</v>
      </c>
      <c r="F253" s="15"/>
      <c r="G253" s="36">
        <f>VLOOKUP(D253,'CSI Counts'!$B$2:$N$56,13,FALSE)</f>
        <v>630.5</v>
      </c>
      <c r="H253" s="10">
        <v>7702.53</v>
      </c>
      <c r="I253" s="10">
        <f t="shared" si="39"/>
        <v>4856445.17</v>
      </c>
      <c r="J253" s="2">
        <f>ROUND((I253-SUM('Entitlement to Date'!E13:I13))/7,2)</f>
        <v>413620.44</v>
      </c>
      <c r="K253" s="3"/>
      <c r="L253" s="3">
        <f>ROUND(((I253*-0.03)-SUM('CSI Admin to Date'!E13:I13))/7,2)</f>
        <v>-12408.62</v>
      </c>
      <c r="M253" s="3"/>
      <c r="N253" s="5">
        <f t="shared" si="38"/>
        <v>401211.82</v>
      </c>
    </row>
    <row r="254" spans="1:14" ht="12.75" x14ac:dyDescent="0.2">
      <c r="A254" s="34" t="s">
        <v>161</v>
      </c>
      <c r="B254" s="15" t="s">
        <v>90</v>
      </c>
      <c r="C254" s="1" t="s">
        <v>15</v>
      </c>
      <c r="D254" s="22" t="s">
        <v>54</v>
      </c>
      <c r="E254" s="1" t="s">
        <v>17</v>
      </c>
      <c r="F254" s="15"/>
      <c r="G254" s="36">
        <f>VLOOKUP(D254,'CSI Counts'!$B$2:$N$56,13,FALSE)</f>
        <v>382</v>
      </c>
      <c r="H254" s="10">
        <v>7615.3</v>
      </c>
      <c r="I254" s="10">
        <f t="shared" si="39"/>
        <v>2909044.6</v>
      </c>
      <c r="J254" s="2">
        <f>ROUND((I254-SUM('Entitlement to Date'!E14:I14))/7,2)</f>
        <v>223741.18</v>
      </c>
      <c r="K254" s="3"/>
      <c r="L254" s="3">
        <f>ROUND(((I254*-0.03)-SUM('CSI Admin to Date'!E14:I14))/7,2)</f>
        <v>-6712.23</v>
      </c>
      <c r="M254" s="3">
        <v>-42500</v>
      </c>
      <c r="N254" s="5">
        <f t="shared" si="38"/>
        <v>174528.94999999998</v>
      </c>
    </row>
    <row r="255" spans="1:14" ht="12.75" x14ac:dyDescent="0.2">
      <c r="A255" s="34" t="s">
        <v>161</v>
      </c>
      <c r="B255" s="15" t="s">
        <v>90</v>
      </c>
      <c r="C255" s="1" t="s">
        <v>15</v>
      </c>
      <c r="D255" s="22" t="s">
        <v>114</v>
      </c>
      <c r="E255" s="1" t="s">
        <v>124</v>
      </c>
      <c r="F255" s="15"/>
      <c r="G255" s="36">
        <f>VLOOKUP(D255,'CSI Counts'!$B$2:$N$56,13,FALSE)</f>
        <v>224</v>
      </c>
      <c r="H255" s="10">
        <v>7938.74</v>
      </c>
      <c r="I255" s="10">
        <f t="shared" si="39"/>
        <v>1778277.76</v>
      </c>
      <c r="J255" s="2">
        <f>ROUND((I255-SUM('Entitlement to Date'!E15:I15))/7,2)</f>
        <v>162869.79999999999</v>
      </c>
      <c r="K255" s="3"/>
      <c r="L255" s="3">
        <f>ROUND(((I255*-0.03)-SUM('CSI Admin to Date'!E15:I15))/7,2)</f>
        <v>-4886.1000000000004</v>
      </c>
      <c r="M255" s="3"/>
      <c r="N255" s="5">
        <f t="shared" si="38"/>
        <v>157983.69999999998</v>
      </c>
    </row>
    <row r="256" spans="1:14" ht="12.75" x14ac:dyDescent="0.2">
      <c r="A256" s="34" t="s">
        <v>161</v>
      </c>
      <c r="B256" s="15" t="s">
        <v>90</v>
      </c>
      <c r="C256" s="1" t="s">
        <v>15</v>
      </c>
      <c r="D256" s="22" t="s">
        <v>118</v>
      </c>
      <c r="E256" s="4" t="s">
        <v>119</v>
      </c>
      <c r="G256" s="36">
        <f>VLOOKUP(D256,'CSI Counts'!$B$2:$N$56,13,FALSE)</f>
        <v>338</v>
      </c>
      <c r="H256" s="10">
        <v>8041.16</v>
      </c>
      <c r="I256" s="10">
        <f t="shared" si="39"/>
        <v>2717912.08</v>
      </c>
      <c r="J256" s="2">
        <f>ROUND((I256-SUM('Entitlement to Date'!E16:I16))/7,2)</f>
        <v>263389.40999999997</v>
      </c>
      <c r="K256" s="3"/>
      <c r="L256" s="3">
        <f>ROUND(((I256*-0.03)-SUM('CSI Admin to Date'!E16:I16))/7,2)</f>
        <v>-7901.68</v>
      </c>
      <c r="M256" s="3"/>
      <c r="N256" s="5">
        <f t="shared" si="38"/>
        <v>255487.72999999998</v>
      </c>
    </row>
    <row r="257" spans="1:14" ht="12.75" x14ac:dyDescent="0.2">
      <c r="A257" s="34" t="s">
        <v>161</v>
      </c>
      <c r="B257" s="15" t="s">
        <v>90</v>
      </c>
      <c r="C257" s="1" t="s">
        <v>15</v>
      </c>
      <c r="D257" s="22" t="s">
        <v>58</v>
      </c>
      <c r="E257" s="1" t="s">
        <v>188</v>
      </c>
      <c r="G257" s="36">
        <f>VLOOKUP(D257,'CSI Counts'!$B$2:$N$56,13,FALSE)</f>
        <v>304</v>
      </c>
      <c r="H257" s="10">
        <v>7766.89</v>
      </c>
      <c r="I257" s="10">
        <f t="shared" si="39"/>
        <v>2361134.56</v>
      </c>
      <c r="J257" s="2">
        <f>ROUND((I257-SUM('Entitlement to Date'!E17:I17))/7,2)</f>
        <v>183455.77</v>
      </c>
      <c r="K257" s="3"/>
      <c r="L257" s="3">
        <f>ROUND(((I257*-0.03)-SUM('CSI Admin to Date'!E17:I17))/7,2)</f>
        <v>-5503.67</v>
      </c>
      <c r="M257" s="3">
        <v>-17523.8</v>
      </c>
      <c r="N257" s="5">
        <f t="shared" si="38"/>
        <v>160428.29999999999</v>
      </c>
    </row>
    <row r="258" spans="1:14" ht="12.75" x14ac:dyDescent="0.2">
      <c r="A258" s="34" t="s">
        <v>161</v>
      </c>
      <c r="B258" s="15" t="s">
        <v>90</v>
      </c>
      <c r="C258" s="1" t="s">
        <v>15</v>
      </c>
      <c r="D258" s="22" t="s">
        <v>71</v>
      </c>
      <c r="E258" s="4" t="s">
        <v>70</v>
      </c>
      <c r="G258" s="36">
        <f>VLOOKUP(D258,'CSI Counts'!$B$2:$N$56,13,FALSE)</f>
        <v>58</v>
      </c>
      <c r="H258" s="10">
        <v>7587.9</v>
      </c>
      <c r="I258" s="10">
        <f t="shared" si="39"/>
        <v>440098.2</v>
      </c>
      <c r="J258" s="2">
        <f>ROUND((I258-SUM('Entitlement to Date'!E18:I18))/7,2)</f>
        <v>29632.15</v>
      </c>
      <c r="K258" s="3"/>
      <c r="L258" s="3">
        <f>ROUND(((I258*-0.03)-SUM('CSI Admin to Date'!E18:I18))/7,2)</f>
        <v>-888.96</v>
      </c>
      <c r="M258" s="3"/>
      <c r="N258" s="5">
        <f t="shared" si="38"/>
        <v>28743.190000000002</v>
      </c>
    </row>
    <row r="259" spans="1:14" ht="12.75" x14ac:dyDescent="0.2">
      <c r="A259" s="34" t="s">
        <v>161</v>
      </c>
      <c r="B259" s="15" t="s">
        <v>90</v>
      </c>
      <c r="C259" s="7" t="s">
        <v>15</v>
      </c>
      <c r="D259" s="21" t="s">
        <v>57</v>
      </c>
      <c r="E259" s="7" t="s">
        <v>32</v>
      </c>
      <c r="G259" s="36">
        <f>VLOOKUP(D259,'CSI Counts'!$B$2:$N$56,13,FALSE)</f>
        <v>323.8</v>
      </c>
      <c r="H259" s="10">
        <v>7600.19</v>
      </c>
      <c r="I259" s="10">
        <f t="shared" si="39"/>
        <v>2460941.52</v>
      </c>
      <c r="J259" s="2">
        <f>ROUND((I259-SUM('Entitlement to Date'!E19:I19))/7,2)</f>
        <v>195994.97</v>
      </c>
      <c r="K259" s="3"/>
      <c r="L259" s="3">
        <f>ROUND(((I259*-0.03)-SUM('CSI Admin to Date'!E19:I19))/7,2)</f>
        <v>-5879.85</v>
      </c>
      <c r="M259" s="3"/>
      <c r="N259" s="5">
        <f t="shared" si="38"/>
        <v>190115.12</v>
      </c>
    </row>
    <row r="260" spans="1:14" ht="12.75" x14ac:dyDescent="0.2">
      <c r="A260" s="34" t="s">
        <v>161</v>
      </c>
      <c r="B260" s="15" t="s">
        <v>90</v>
      </c>
      <c r="C260" s="1" t="s">
        <v>15</v>
      </c>
      <c r="D260" s="21" t="s">
        <v>53</v>
      </c>
      <c r="E260" s="1" t="s">
        <v>189</v>
      </c>
      <c r="G260" s="36">
        <f>VLOOKUP(D260,'CSI Counts'!$B$2:$N$56,13,FALSE)</f>
        <v>906.1</v>
      </c>
      <c r="H260" s="10">
        <v>7587.9</v>
      </c>
      <c r="I260" s="10">
        <f t="shared" si="39"/>
        <v>6875396.1900000004</v>
      </c>
      <c r="J260" s="2">
        <f>ROUND((I260-SUM('Entitlement to Date'!E20:I20))/7,2)</f>
        <v>551516.74</v>
      </c>
      <c r="K260" s="3"/>
      <c r="L260" s="3">
        <f>ROUND(((I260*-0.03)-SUM('CSI Admin to Date'!E20:I20))/7,2)</f>
        <v>-16545.509999999998</v>
      </c>
      <c r="M260" s="3">
        <v>-63601.67</v>
      </c>
      <c r="N260" s="5">
        <f t="shared" si="38"/>
        <v>471369.56</v>
      </c>
    </row>
    <row r="261" spans="1:14" ht="12.75" x14ac:dyDescent="0.2">
      <c r="A261" s="35" t="s">
        <v>157</v>
      </c>
      <c r="B261" s="13" t="s">
        <v>87</v>
      </c>
      <c r="C261" s="5" t="s">
        <v>87</v>
      </c>
      <c r="D261" s="21" t="s">
        <v>173</v>
      </c>
      <c r="E261" s="5" t="s">
        <v>190</v>
      </c>
      <c r="G261" s="36">
        <f>VLOOKUP(D261,'CSI Counts'!$B$2:$N$56,13,FALSE)</f>
        <v>591</v>
      </c>
      <c r="H261" s="10">
        <v>7721.8353373745913</v>
      </c>
      <c r="I261" s="10">
        <f t="shared" si="39"/>
        <v>4563604.68</v>
      </c>
      <c r="J261" s="2">
        <f>ROUND((I261-SUM('Entitlement to Date'!E21:I21))/7,2)</f>
        <v>359185.11</v>
      </c>
      <c r="K261" s="3"/>
      <c r="L261" s="3">
        <f>ROUND(((I261*-0.03)-SUM('CSI Admin to Date'!E21:I21))/7,2)</f>
        <v>-10775.56</v>
      </c>
      <c r="M261" s="3"/>
      <c r="N261" s="5">
        <f t="shared" si="38"/>
        <v>348409.55</v>
      </c>
    </row>
    <row r="262" spans="1:14" ht="12.75" x14ac:dyDescent="0.2">
      <c r="A262" s="35" t="s">
        <v>157</v>
      </c>
      <c r="B262" s="13" t="s">
        <v>87</v>
      </c>
      <c r="C262" s="1" t="s">
        <v>87</v>
      </c>
      <c r="D262" s="22" t="s">
        <v>51</v>
      </c>
      <c r="E262" s="1" t="s">
        <v>191</v>
      </c>
      <c r="G262" s="36">
        <f>VLOOKUP(D262,'CSI Counts'!$B$2:$N$56,13,FALSE)</f>
        <v>829</v>
      </c>
      <c r="H262" s="10">
        <v>7660.77</v>
      </c>
      <c r="I262" s="10">
        <f t="shared" si="39"/>
        <v>6350778.3300000001</v>
      </c>
      <c r="J262" s="2">
        <f>ROUND((I262-SUM('Entitlement to Date'!E22:I22))/7,2)</f>
        <v>519249.84</v>
      </c>
      <c r="K262" s="3"/>
      <c r="L262" s="3">
        <f>ROUND(((I262*-0.03)-SUM('CSI Admin to Date'!E22:I22))/7,2)</f>
        <v>-15577.49</v>
      </c>
      <c r="M262" s="3">
        <v>-73961.25</v>
      </c>
      <c r="N262" s="5">
        <f t="shared" si="38"/>
        <v>429711.10000000003</v>
      </c>
    </row>
    <row r="263" spans="1:14" ht="12.75" x14ac:dyDescent="0.2">
      <c r="A263" s="35" t="s">
        <v>165</v>
      </c>
      <c r="B263" s="13" t="s">
        <v>91</v>
      </c>
      <c r="C263" s="7" t="s">
        <v>21</v>
      </c>
      <c r="D263" s="22" t="s">
        <v>61</v>
      </c>
      <c r="E263" s="7" t="s">
        <v>192</v>
      </c>
      <c r="G263" s="36">
        <f>VLOOKUP(D263,'CSI Counts'!$B$2:$N$56,13,FALSE)</f>
        <v>195.5</v>
      </c>
      <c r="H263" s="10">
        <v>7838.49</v>
      </c>
      <c r="I263" s="10">
        <f t="shared" si="39"/>
        <v>1532424.8</v>
      </c>
      <c r="J263" s="2">
        <f>ROUND((I263-SUM('Entitlement to Date'!E23:I23))/7,2)</f>
        <v>127353.97</v>
      </c>
      <c r="K263" s="3"/>
      <c r="L263" s="3">
        <f>ROUND(((I263*-0.03)-SUM('CSI Admin to Date'!E23:I23))/7,2)</f>
        <v>-3820.62</v>
      </c>
      <c r="M263" s="3"/>
      <c r="N263" s="5">
        <f t="shared" si="38"/>
        <v>123533.35</v>
      </c>
    </row>
    <row r="264" spans="1:14" ht="12.75" x14ac:dyDescent="0.2">
      <c r="A264" s="35" t="s">
        <v>165</v>
      </c>
      <c r="B264" s="13" t="s">
        <v>91</v>
      </c>
      <c r="C264" s="5" t="s">
        <v>21</v>
      </c>
      <c r="D264" s="21" t="s">
        <v>62</v>
      </c>
      <c r="E264" s="5" t="s">
        <v>23</v>
      </c>
      <c r="G264" s="36">
        <f>VLOOKUP(D264,'CSI Counts'!$B$2:$N$56,13,FALSE)</f>
        <v>246.5</v>
      </c>
      <c r="H264" s="10">
        <v>7746.37</v>
      </c>
      <c r="I264" s="10">
        <f t="shared" si="39"/>
        <v>1909480.21</v>
      </c>
      <c r="J264" s="2">
        <f>ROUND((I264-SUM('Entitlement to Date'!E24:I24))/7,2)</f>
        <v>157135.82999999999</v>
      </c>
      <c r="K264" s="3"/>
      <c r="L264" s="3">
        <f>ROUND(((I264*-0.03)-SUM('CSI Admin to Date'!E24:I24))/7,2)</f>
        <v>-4714.07</v>
      </c>
      <c r="M264" s="3"/>
      <c r="N264" s="5">
        <f t="shared" si="38"/>
        <v>152421.75999999998</v>
      </c>
    </row>
    <row r="265" spans="1:14" ht="12.75" x14ac:dyDescent="0.2">
      <c r="A265" s="35" t="s">
        <v>158</v>
      </c>
      <c r="B265" s="13" t="s">
        <v>13</v>
      </c>
      <c r="C265" s="5" t="s">
        <v>13</v>
      </c>
      <c r="D265" s="21" t="s">
        <v>52</v>
      </c>
      <c r="E265" s="5" t="s">
        <v>193</v>
      </c>
      <c r="G265" s="36">
        <f>VLOOKUP(D265,'CSI Counts'!$B$2:$N$56,13,FALSE)</f>
        <v>309</v>
      </c>
      <c r="H265" s="10">
        <v>8105.43</v>
      </c>
      <c r="I265" s="10">
        <f t="shared" si="39"/>
        <v>2504577.87</v>
      </c>
      <c r="J265" s="2">
        <f>ROUND((I265-SUM('Entitlement to Date'!E25:I25))/7,2)</f>
        <v>201504.23</v>
      </c>
      <c r="K265" s="3"/>
      <c r="L265" s="3">
        <f>ROUND(((I265*-0.03)-SUM('CSI Admin to Date'!E25:I25))/7,2)</f>
        <v>-6045.13</v>
      </c>
      <c r="M265" s="3"/>
      <c r="N265" s="5">
        <f t="shared" si="38"/>
        <v>195459.1</v>
      </c>
    </row>
    <row r="266" spans="1:14" ht="12.75" x14ac:dyDescent="0.2">
      <c r="A266" s="35" t="s">
        <v>164</v>
      </c>
      <c r="B266" s="13" t="s">
        <v>84</v>
      </c>
      <c r="C266" s="1" t="s">
        <v>84</v>
      </c>
      <c r="D266" s="22" t="s">
        <v>96</v>
      </c>
      <c r="E266" s="1" t="s">
        <v>83</v>
      </c>
      <c r="G266" s="36">
        <f>VLOOKUP(D266,'CSI Counts'!$B$2:$N$56,13,FALSE)</f>
        <v>695.5</v>
      </c>
      <c r="H266" s="10">
        <v>7809.12</v>
      </c>
      <c r="I266" s="10">
        <f t="shared" si="39"/>
        <v>5431242.96</v>
      </c>
      <c r="J266" s="2">
        <f>ROUND((I266-SUM('Entitlement to Date'!E26:I26))/7,2)</f>
        <v>452002.76</v>
      </c>
      <c r="K266" s="3"/>
      <c r="L266" s="3">
        <f>ROUND(((I266*-0.03)-SUM('CSI Admin to Date'!E26:I26))/7,2)</f>
        <v>-13560.08</v>
      </c>
      <c r="M266" s="3">
        <v>-52789.46</v>
      </c>
      <c r="N266" s="5">
        <f t="shared" si="38"/>
        <v>385653.22</v>
      </c>
    </row>
    <row r="267" spans="1:14" ht="12.75" x14ac:dyDescent="0.2">
      <c r="A267" s="35" t="s">
        <v>168</v>
      </c>
      <c r="B267" s="13" t="s">
        <v>88</v>
      </c>
      <c r="C267" s="1" t="s">
        <v>25</v>
      </c>
      <c r="D267" s="22" t="s">
        <v>65</v>
      </c>
      <c r="E267" s="1" t="s">
        <v>26</v>
      </c>
      <c r="G267" s="36">
        <f>VLOOKUP(D267,'CSI Counts'!$B$2:$N$56,13,FALSE)</f>
        <v>886.3</v>
      </c>
      <c r="H267" s="10">
        <v>7587.9</v>
      </c>
      <c r="I267" s="10">
        <f t="shared" si="39"/>
        <v>6725155.7699999996</v>
      </c>
      <c r="J267" s="2">
        <f>ROUND((I267-SUM('Entitlement to Date'!E27:I27))/7,2)</f>
        <v>566691.88</v>
      </c>
      <c r="K267" s="3"/>
      <c r="L267" s="3">
        <f>ROUND(((I267*-0.03)-SUM('CSI Admin to Date'!E27:I27))/7,2)</f>
        <v>-17000.75</v>
      </c>
      <c r="M267" s="3">
        <v>-110618.33</v>
      </c>
      <c r="N267" s="5">
        <f t="shared" si="38"/>
        <v>439072.8</v>
      </c>
    </row>
    <row r="268" spans="1:14" ht="12.75" x14ac:dyDescent="0.2">
      <c r="A268" s="35" t="s">
        <v>168</v>
      </c>
      <c r="B268" s="13" t="s">
        <v>88</v>
      </c>
      <c r="C268" s="1" t="s">
        <v>25</v>
      </c>
      <c r="D268" s="22" t="s">
        <v>81</v>
      </c>
      <c r="E268" s="1" t="s">
        <v>194</v>
      </c>
      <c r="G268" s="36">
        <f>VLOOKUP(D268,'CSI Counts'!$B$2:$N$56,13,FALSE)</f>
        <v>53</v>
      </c>
      <c r="H268" s="10">
        <v>7587.9</v>
      </c>
      <c r="I268" s="10">
        <f t="shared" si="39"/>
        <v>402158.7</v>
      </c>
      <c r="J268" s="2">
        <f>ROUND((I268-SUM('Entitlement to Date'!E28:I28))/7,2)</f>
        <v>29630.959999999999</v>
      </c>
      <c r="K268" s="3"/>
      <c r="L268" s="3">
        <f>ROUND(((I268*-0.03)-SUM('CSI Admin to Date'!E28:I28))/7,2)</f>
        <v>-888.93</v>
      </c>
      <c r="M268" s="3"/>
      <c r="N268" s="5">
        <f t="shared" si="38"/>
        <v>28742.03</v>
      </c>
    </row>
    <row r="269" spans="1:14" ht="12.75" x14ac:dyDescent="0.2">
      <c r="A269" s="35" t="s">
        <v>166</v>
      </c>
      <c r="B269" s="13" t="s">
        <v>92</v>
      </c>
      <c r="C269" s="1" t="s">
        <v>24</v>
      </c>
      <c r="D269" s="22" t="s">
        <v>63</v>
      </c>
      <c r="E269" s="1" t="s">
        <v>195</v>
      </c>
      <c r="G269" s="36">
        <f>VLOOKUP(D269,'CSI Counts'!$B$2:$N$56,13,FALSE)</f>
        <v>185</v>
      </c>
      <c r="H269" s="10">
        <v>7587.9</v>
      </c>
      <c r="I269" s="10">
        <f t="shared" si="39"/>
        <v>1403761.5</v>
      </c>
      <c r="J269" s="2">
        <f>ROUND((I269-SUM('Entitlement to Date'!E29:I29))/7,2)</f>
        <v>111492.91</v>
      </c>
      <c r="K269" s="3"/>
      <c r="L269" s="3">
        <f>ROUND(((I269*-0.03)-SUM('CSI Admin to Date'!E29:I29))/7,2)</f>
        <v>-3344.79</v>
      </c>
      <c r="M269" s="3"/>
      <c r="N269" s="5">
        <f t="shared" si="38"/>
        <v>108148.12000000001</v>
      </c>
    </row>
    <row r="270" spans="1:14" ht="12.75" x14ac:dyDescent="0.2">
      <c r="A270" s="35" t="s">
        <v>166</v>
      </c>
      <c r="B270" s="13" t="s">
        <v>92</v>
      </c>
      <c r="C270" s="1" t="s">
        <v>24</v>
      </c>
      <c r="D270" s="22" t="s">
        <v>174</v>
      </c>
      <c r="E270" s="1" t="s">
        <v>196</v>
      </c>
      <c r="G270" s="36">
        <f>VLOOKUP(D270,'CSI Counts'!$B$2:$N$56,13,FALSE)</f>
        <v>243.5</v>
      </c>
      <c r="H270" s="10">
        <v>7587.9</v>
      </c>
      <c r="I270" s="10">
        <f t="shared" si="39"/>
        <v>1847653.65</v>
      </c>
      <c r="J270" s="2">
        <f>ROUND((I270-SUM('Entitlement to Date'!E30:I30))/7,2)</f>
        <v>161333.23000000001</v>
      </c>
      <c r="K270" s="3"/>
      <c r="L270" s="3">
        <f>ROUND(((I270*-0.03)-SUM('CSI Admin to Date'!E30:I30))/7,2)</f>
        <v>-4839.99</v>
      </c>
      <c r="M270" s="3"/>
      <c r="N270" s="5">
        <f t="shared" si="38"/>
        <v>156493.24000000002</v>
      </c>
    </row>
    <row r="271" spans="1:14" ht="12.75" x14ac:dyDescent="0.2">
      <c r="A271" s="35" t="s">
        <v>166</v>
      </c>
      <c r="B271" s="13" t="s">
        <v>92</v>
      </c>
      <c r="C271" s="1" t="s">
        <v>24</v>
      </c>
      <c r="D271" s="22" t="s">
        <v>115</v>
      </c>
      <c r="E271" s="1" t="s">
        <v>120</v>
      </c>
      <c r="G271" s="36">
        <f>VLOOKUP(D271,'CSI Counts'!$B$2:$N$56,13,FALSE)</f>
        <v>191</v>
      </c>
      <c r="H271" s="10">
        <v>7587.9</v>
      </c>
      <c r="I271" s="10">
        <f t="shared" si="39"/>
        <v>1449288.9</v>
      </c>
      <c r="J271" s="2">
        <f>ROUND((I271-SUM('Entitlement to Date'!E31:I31))/7,2)</f>
        <v>131332.51</v>
      </c>
      <c r="K271" s="3"/>
      <c r="L271" s="3">
        <f>ROUND(((I271*-0.03)-SUM('CSI Admin to Date'!E31:I31))/7,2)</f>
        <v>-3939.97</v>
      </c>
      <c r="M271" s="3"/>
      <c r="N271" s="5">
        <f t="shared" si="38"/>
        <v>127392.54000000001</v>
      </c>
    </row>
    <row r="272" spans="1:14" ht="12.75" x14ac:dyDescent="0.2">
      <c r="A272" s="35" t="s">
        <v>166</v>
      </c>
      <c r="B272" s="13" t="s">
        <v>92</v>
      </c>
      <c r="C272" s="1" t="s">
        <v>24</v>
      </c>
      <c r="D272" s="22" t="s">
        <v>117</v>
      </c>
      <c r="E272" s="1" t="s">
        <v>197</v>
      </c>
      <c r="G272" s="36">
        <f>VLOOKUP(D272,'CSI Counts'!$B$2:$N$56,13,FALSE)</f>
        <v>615.6</v>
      </c>
      <c r="H272" s="10">
        <v>7587.9</v>
      </c>
      <c r="I272" s="10">
        <f t="shared" si="39"/>
        <v>4671111.24</v>
      </c>
      <c r="J272" s="2">
        <f>ROUND((I272-SUM('Entitlement to Date'!E32:I32))/7,2)</f>
        <v>560351.57999999996</v>
      </c>
      <c r="K272" s="3"/>
      <c r="L272" s="3">
        <f>ROUND(((I272*-0.03)-SUM('CSI Admin to Date'!E32:I32))/7,2)</f>
        <v>-16810.55</v>
      </c>
      <c r="M272" s="3"/>
      <c r="N272" s="5">
        <f t="shared" si="38"/>
        <v>543541.02999999991</v>
      </c>
    </row>
    <row r="273" spans="1:14" ht="12.75" x14ac:dyDescent="0.2">
      <c r="A273" s="35" t="s">
        <v>166</v>
      </c>
      <c r="B273" s="13" t="s">
        <v>92</v>
      </c>
      <c r="C273" s="1" t="s">
        <v>24</v>
      </c>
      <c r="D273" s="22" t="s">
        <v>64</v>
      </c>
      <c r="E273" s="1" t="s">
        <v>198</v>
      </c>
      <c r="G273" s="36">
        <f>VLOOKUP(D273,'CSI Counts'!$B$2:$N$56,13,FALSE)</f>
        <v>1273</v>
      </c>
      <c r="H273" s="10">
        <v>7587.9</v>
      </c>
      <c r="I273" s="10">
        <f t="shared" si="39"/>
        <v>9659396.6999999993</v>
      </c>
      <c r="J273" s="2">
        <f>ROUND((I273-SUM('Entitlement to Date'!E33:I33))/7,2)</f>
        <v>784733.5</v>
      </c>
      <c r="K273" s="3"/>
      <c r="L273" s="3">
        <f>ROUND(((I273*-0.03)-SUM('CSI Admin to Date'!E33:I33))/7,2)</f>
        <v>-23542.01</v>
      </c>
      <c r="M273" s="3">
        <v>-160915</v>
      </c>
      <c r="N273" s="5">
        <f t="shared" si="38"/>
        <v>600276.49</v>
      </c>
    </row>
    <row r="274" spans="1:14" ht="12.75" x14ac:dyDescent="0.2">
      <c r="A274" s="35" t="s">
        <v>166</v>
      </c>
      <c r="B274" s="13" t="s">
        <v>92</v>
      </c>
      <c r="C274" s="1" t="s">
        <v>24</v>
      </c>
      <c r="D274" s="22" t="s">
        <v>116</v>
      </c>
      <c r="E274" s="1" t="s">
        <v>199</v>
      </c>
      <c r="G274" s="36">
        <f>VLOOKUP(D274,'CSI Counts'!$B$2:$N$56,13,FALSE)</f>
        <v>220.5</v>
      </c>
      <c r="H274" s="10">
        <v>7587.9</v>
      </c>
      <c r="I274" s="10">
        <f t="shared" si="39"/>
        <v>1673131.95</v>
      </c>
      <c r="J274" s="2">
        <f>ROUND((I274-SUM('Entitlement to Date'!E34:I34))/7,2)</f>
        <v>193411.16</v>
      </c>
      <c r="K274" s="3"/>
      <c r="L274" s="3">
        <f>ROUND(((I274*-0.03)-SUM('CSI Admin to Date'!E34:I34))/7,2)</f>
        <v>-5802.34</v>
      </c>
      <c r="M274" s="3"/>
      <c r="N274" s="5">
        <f t="shared" si="38"/>
        <v>187608.82</v>
      </c>
    </row>
    <row r="275" spans="1:14" ht="12.75" x14ac:dyDescent="0.2">
      <c r="A275" s="35" t="s">
        <v>162</v>
      </c>
      <c r="B275" s="13" t="s">
        <v>93</v>
      </c>
      <c r="C275" s="5" t="s">
        <v>19</v>
      </c>
      <c r="D275" s="21" t="s">
        <v>59</v>
      </c>
      <c r="E275" s="5" t="s">
        <v>200</v>
      </c>
      <c r="G275" s="36">
        <f>VLOOKUP(D275,'CSI Counts'!$B$2:$N$56,13,FALSE)</f>
        <v>313</v>
      </c>
      <c r="H275" s="10">
        <v>8107.65</v>
      </c>
      <c r="I275" s="10">
        <f t="shared" si="39"/>
        <v>2537694.4500000002</v>
      </c>
      <c r="J275" s="2">
        <f>ROUND((I275-SUM('Entitlement to Date'!E35:I35))/7,2)</f>
        <v>213532.89</v>
      </c>
      <c r="K275" s="3"/>
      <c r="L275" s="3">
        <f>ROUND(((I275*-0.03)-SUM('CSI Admin to Date'!E35:I35))/7,2)</f>
        <v>-6405.98</v>
      </c>
      <c r="M275" s="3"/>
      <c r="N275" s="5">
        <f t="shared" si="38"/>
        <v>207126.91</v>
      </c>
    </row>
    <row r="276" spans="1:14" ht="12.75" x14ac:dyDescent="0.2">
      <c r="A276" s="35" t="s">
        <v>162</v>
      </c>
      <c r="B276" s="13" t="s">
        <v>93</v>
      </c>
      <c r="C276" s="7" t="s">
        <v>19</v>
      </c>
      <c r="D276" s="22" t="s">
        <v>60</v>
      </c>
      <c r="E276" s="7" t="s">
        <v>201</v>
      </c>
      <c r="G276" s="36">
        <f>VLOOKUP(D276,'CSI Counts'!$B$2:$N$56,13,FALSE)</f>
        <v>372.6</v>
      </c>
      <c r="H276" s="10">
        <v>7974</v>
      </c>
      <c r="I276" s="10">
        <f t="shared" si="39"/>
        <v>2971112.4</v>
      </c>
      <c r="J276" s="2">
        <f>ROUND((I276-SUM('Entitlement to Date'!E36:I36))/7,2)</f>
        <v>244160.81</v>
      </c>
      <c r="K276" s="3"/>
      <c r="L276" s="3">
        <f>ROUND(((I276*-0.03)-SUM('CSI Admin to Date'!E36:I36))/7,2)</f>
        <v>-7324.82</v>
      </c>
      <c r="M276" s="3">
        <v>-42338.71</v>
      </c>
      <c r="N276" s="5">
        <f t="shared" si="38"/>
        <v>194497.28</v>
      </c>
    </row>
    <row r="277" spans="1:14" ht="12.75" x14ac:dyDescent="0.2">
      <c r="A277" s="35" t="s">
        <v>156</v>
      </c>
      <c r="B277" s="13" t="s">
        <v>94</v>
      </c>
      <c r="C277" s="5" t="s">
        <v>40</v>
      </c>
      <c r="D277" s="21" t="s">
        <v>82</v>
      </c>
      <c r="E277" s="5" t="s">
        <v>202</v>
      </c>
      <c r="G277" s="36">
        <f>VLOOKUP(D277,'CSI Counts'!$B$2:$N$56,13,FALSE)</f>
        <v>87</v>
      </c>
      <c r="H277" s="10">
        <v>7647.5</v>
      </c>
      <c r="I277" s="10">
        <f t="shared" si="39"/>
        <v>665332.5</v>
      </c>
      <c r="J277" s="2">
        <f>ROUND((I277-SUM('Entitlement to Date'!E37:I37))/7,2)</f>
        <v>54403.33</v>
      </c>
      <c r="K277" s="3"/>
      <c r="L277" s="3">
        <f>ROUND(((I277*-0.03)-SUM('CSI Admin to Date'!E37:I37))/7,2)</f>
        <v>-1632.1</v>
      </c>
      <c r="M277" s="3"/>
      <c r="N277" s="5">
        <f t="shared" si="38"/>
        <v>52771.23</v>
      </c>
    </row>
    <row r="278" spans="1:14" ht="12.75" x14ac:dyDescent="0.2">
      <c r="A278" s="35" t="s">
        <v>169</v>
      </c>
      <c r="B278" s="13" t="s">
        <v>95</v>
      </c>
      <c r="C278" s="5" t="s">
        <v>175</v>
      </c>
      <c r="D278" s="21" t="s">
        <v>74</v>
      </c>
      <c r="E278" s="5" t="s">
        <v>203</v>
      </c>
      <c r="G278" s="36">
        <f>VLOOKUP(D278,'CSI Counts'!$B$2:$N$56,13,FALSE)</f>
        <v>135</v>
      </c>
      <c r="H278" s="10">
        <v>7867.82</v>
      </c>
      <c r="I278" s="10">
        <f t="shared" si="39"/>
        <v>1062155.7</v>
      </c>
      <c r="J278" s="2">
        <f>ROUND((I278-SUM('Entitlement to Date'!E38:I38))/7,2)</f>
        <v>88432.17</v>
      </c>
      <c r="K278" s="3"/>
      <c r="L278" s="3">
        <f>ROUND(((I278*-0.03)-SUM('CSI Admin to Date'!E38:I38))/7,2)</f>
        <v>-2652.97</v>
      </c>
      <c r="M278" s="3"/>
      <c r="N278" s="5">
        <f t="shared" si="38"/>
        <v>85779.199999999997</v>
      </c>
    </row>
    <row r="279" spans="1:14" ht="12.75" x14ac:dyDescent="0.2">
      <c r="A279" s="35" t="s">
        <v>152</v>
      </c>
      <c r="B279" s="13" t="s">
        <v>86</v>
      </c>
      <c r="C279" s="5" t="s">
        <v>176</v>
      </c>
      <c r="D279" s="21" t="s">
        <v>67</v>
      </c>
      <c r="E279" s="5" t="s">
        <v>204</v>
      </c>
      <c r="G279" s="36">
        <f>VLOOKUP(D279,'CSI Counts'!$B$2:$N$56,13,FALSE)</f>
        <v>473</v>
      </c>
      <c r="H279" s="10">
        <v>7813.65</v>
      </c>
      <c r="I279" s="10">
        <f t="shared" si="39"/>
        <v>3695856.45</v>
      </c>
      <c r="J279" s="2">
        <f>ROUND((I279-SUM('Entitlement to Date'!E39:I39))/7,2)</f>
        <v>288411.69</v>
      </c>
      <c r="K279" s="3"/>
      <c r="L279" s="3">
        <f>ROUND(((I279*-0.03)-SUM('CSI Admin to Date'!E39:I39))/7,2)</f>
        <v>-8652.35</v>
      </c>
      <c r="M279" s="3">
        <v>-30566.04</v>
      </c>
      <c r="N279" s="5">
        <f t="shared" si="38"/>
        <v>249193.30000000002</v>
      </c>
    </row>
    <row r="280" spans="1:14" x14ac:dyDescent="0.25">
      <c r="A280" s="35" t="s">
        <v>152</v>
      </c>
      <c r="B280" s="13" t="s">
        <v>86</v>
      </c>
      <c r="C280" s="6" t="s">
        <v>176</v>
      </c>
      <c r="D280" t="s">
        <v>47</v>
      </c>
      <c r="E280" s="6" t="s">
        <v>205</v>
      </c>
      <c r="G280" s="36">
        <f>VLOOKUP(D280,'CSI Counts'!$B$2:$N$56,13,FALSE)</f>
        <v>284</v>
      </c>
      <c r="H280" s="10">
        <v>8012.35</v>
      </c>
      <c r="I280" s="10">
        <f t="shared" si="39"/>
        <v>2275507.4</v>
      </c>
      <c r="J280" s="2">
        <f>ROUND((I280-SUM('Entitlement to Date'!E40:I40))/7,2)</f>
        <v>167059.69</v>
      </c>
      <c r="K280" s="3"/>
      <c r="L280" s="3">
        <f>ROUND(((I280*-0.03)-SUM('CSI Admin to Date'!E40:I40))/7,2)</f>
        <v>-5011.79</v>
      </c>
      <c r="M280" s="3">
        <v>-42638.58</v>
      </c>
      <c r="N280" s="5">
        <f t="shared" si="38"/>
        <v>119409.31999999999</v>
      </c>
    </row>
    <row r="281" spans="1:14" x14ac:dyDescent="0.25">
      <c r="A281" s="35" t="s">
        <v>152</v>
      </c>
      <c r="B281" s="13" t="s">
        <v>86</v>
      </c>
      <c r="C281" s="8" t="s">
        <v>176</v>
      </c>
      <c r="D281" t="s">
        <v>48</v>
      </c>
      <c r="E281" s="8" t="s">
        <v>206</v>
      </c>
      <c r="G281" s="36">
        <f>VLOOKUP(D281,'CSI Counts'!$B$2:$N$56,13,FALSE)</f>
        <v>249</v>
      </c>
      <c r="H281" s="10">
        <v>8096.99</v>
      </c>
      <c r="I281" s="10">
        <f t="shared" si="39"/>
        <v>2016150.51</v>
      </c>
      <c r="J281" s="2">
        <f>ROUND((I281-SUM('Entitlement to Date'!E41:I41))/7,2)</f>
        <v>156972.82</v>
      </c>
      <c r="K281" s="3"/>
      <c r="L281" s="3">
        <f>ROUND(((I281*-0.03)-SUM('CSI Admin to Date'!E41:I41))/7,2)</f>
        <v>-4709.1899999999996</v>
      </c>
      <c r="M281" s="3"/>
      <c r="N281" s="5">
        <f t="shared" si="38"/>
        <v>152263.63</v>
      </c>
    </row>
    <row r="282" spans="1:14" x14ac:dyDescent="0.25">
      <c r="G282" s="9"/>
      <c r="H282" s="6"/>
      <c r="I282" s="6"/>
      <c r="J282" s="6"/>
      <c r="K282" s="6"/>
      <c r="L282" s="6"/>
      <c r="M282" s="6"/>
      <c r="N282" s="6"/>
    </row>
    <row r="283" spans="1:14" x14ac:dyDescent="0.25">
      <c r="G283" s="16">
        <f>SUM(G242:G282)</f>
        <v>19528.399999999998</v>
      </c>
      <c r="H283" s="8"/>
      <c r="I283" s="16">
        <f t="shared" ref="I283:N283" si="40">SUM(I242:I282)</f>
        <v>152209998.49999994</v>
      </c>
      <c r="J283" s="16">
        <f t="shared" si="40"/>
        <v>12684595.810000002</v>
      </c>
      <c r="K283" s="8">
        <f t="shared" si="40"/>
        <v>0</v>
      </c>
      <c r="L283" s="8">
        <f t="shared" si="40"/>
        <v>-380537.86999999988</v>
      </c>
      <c r="M283" s="8">
        <f t="shared" si="40"/>
        <v>-1422807.9500000002</v>
      </c>
      <c r="N283" s="16">
        <f t="shared" si="40"/>
        <v>10881249.99</v>
      </c>
    </row>
    <row r="284" spans="1:14" x14ac:dyDescent="0.25">
      <c r="N284" s="16"/>
    </row>
    <row r="285" spans="1:14" x14ac:dyDescent="0.25">
      <c r="G285" s="16"/>
      <c r="N285" s="44"/>
    </row>
    <row r="286" spans="1:14" ht="12.75" x14ac:dyDescent="0.2">
      <c r="A286" s="17" t="s">
        <v>170</v>
      </c>
      <c r="B286" s="17"/>
      <c r="C286" s="11"/>
      <c r="D286" s="11"/>
      <c r="E286" s="17"/>
      <c r="F286" s="19"/>
      <c r="G286" s="19"/>
      <c r="H286" s="19"/>
      <c r="I286" s="19"/>
      <c r="J286" s="19"/>
      <c r="K286" s="19"/>
      <c r="L286" s="19"/>
      <c r="M286" s="19"/>
      <c r="N286" s="19"/>
    </row>
    <row r="287" spans="1:14" ht="63.75" x14ac:dyDescent="0.2">
      <c r="A287" s="20" t="s">
        <v>213</v>
      </c>
      <c r="B287" s="20"/>
      <c r="C287" s="11"/>
      <c r="D287" s="11" t="s">
        <v>38</v>
      </c>
      <c r="E287" s="17" t="s">
        <v>39</v>
      </c>
      <c r="F287" s="12"/>
      <c r="G287" s="23" t="s">
        <v>0</v>
      </c>
      <c r="H287" s="23" t="s">
        <v>1</v>
      </c>
      <c r="I287" s="23" t="s">
        <v>2</v>
      </c>
      <c r="J287" s="23" t="s">
        <v>3</v>
      </c>
      <c r="K287" s="23" t="s">
        <v>4</v>
      </c>
      <c r="L287" s="23" t="s">
        <v>5</v>
      </c>
      <c r="M287" s="23" t="s">
        <v>28</v>
      </c>
      <c r="N287" s="23" t="s">
        <v>6</v>
      </c>
    </row>
    <row r="288" spans="1:14" x14ac:dyDescent="0.25">
      <c r="C288" s="6"/>
      <c r="E288" s="6"/>
      <c r="F288" s="6"/>
      <c r="G288" s="14"/>
      <c r="H288" s="10"/>
      <c r="I288" s="10"/>
      <c r="J288" s="10"/>
      <c r="K288" s="10"/>
      <c r="L288" s="10"/>
      <c r="M288" s="10"/>
      <c r="N288" s="5"/>
    </row>
    <row r="289" spans="1:14" ht="12.75" x14ac:dyDescent="0.2">
      <c r="A289" s="35" t="s">
        <v>142</v>
      </c>
      <c r="B289" s="13" t="s">
        <v>86</v>
      </c>
      <c r="C289" s="1" t="s">
        <v>172</v>
      </c>
      <c r="D289" s="21" t="s">
        <v>44</v>
      </c>
      <c r="E289" s="1" t="s">
        <v>177</v>
      </c>
      <c r="G289" s="36">
        <f>VLOOKUP(D289,'CSI Counts'!$B$2:$N$56,13,FALSE)</f>
        <v>1860</v>
      </c>
      <c r="H289" s="10">
        <v>7642.8224147551509</v>
      </c>
      <c r="I289" s="10">
        <f>ROUND(G289*H289,2)</f>
        <v>14215649.689999999</v>
      </c>
      <c r="J289" s="2">
        <v>1165012.6100000001</v>
      </c>
      <c r="K289" s="3"/>
      <c r="L289" s="3">
        <v>-34950.379999999997</v>
      </c>
      <c r="M289" s="3">
        <v>-120647.5</v>
      </c>
      <c r="N289" s="5">
        <f t="shared" ref="N289:N328" si="41">J289+K289+L289+M289</f>
        <v>1009414.7300000002</v>
      </c>
    </row>
    <row r="290" spans="1:14" ht="12.75" x14ac:dyDescent="0.2">
      <c r="A290" s="35" t="s">
        <v>142</v>
      </c>
      <c r="B290" s="13" t="s">
        <v>86</v>
      </c>
      <c r="C290" s="5" t="s">
        <v>172</v>
      </c>
      <c r="D290" s="21" t="s">
        <v>68</v>
      </c>
      <c r="E290" s="5" t="s">
        <v>178</v>
      </c>
      <c r="G290" s="36">
        <f>VLOOKUP(D290,'CSI Counts'!$B$2:$N$56,13,FALSE)</f>
        <v>828.5</v>
      </c>
      <c r="H290" s="10">
        <v>7775.8224147551509</v>
      </c>
      <c r="I290" s="10">
        <f t="shared" ref="I290:I328" si="42">ROUND(G290*H290,2)</f>
        <v>6442268.8700000001</v>
      </c>
      <c r="J290" s="2">
        <f>ROUND((I290-SUM('Entitlement to Date'!E3:J3))/6,2)</f>
        <v>523442.92</v>
      </c>
      <c r="K290" s="3"/>
      <c r="L290" s="3">
        <f>ROUND(((I290*-0.03)-SUM('CSI Admin to Date'!E3:J3))/6,2)</f>
        <v>-15703.29</v>
      </c>
      <c r="M290" s="3">
        <v>-32574.17</v>
      </c>
      <c r="N290" s="5">
        <f t="shared" si="41"/>
        <v>475165.46</v>
      </c>
    </row>
    <row r="291" spans="1:14" ht="12.75" x14ac:dyDescent="0.2">
      <c r="A291" s="35" t="s">
        <v>142</v>
      </c>
      <c r="B291" s="13" t="s">
        <v>86</v>
      </c>
      <c r="C291" s="1" t="s">
        <v>172</v>
      </c>
      <c r="D291" s="22" t="s">
        <v>146</v>
      </c>
      <c r="E291" s="1" t="s">
        <v>179</v>
      </c>
      <c r="G291" s="36">
        <f>VLOOKUP(D291,'CSI Counts'!$B$2:$N$56,13,FALSE)</f>
        <v>2107</v>
      </c>
      <c r="H291" s="10">
        <v>8018.992414755151</v>
      </c>
      <c r="I291" s="10">
        <f t="shared" si="42"/>
        <v>16896017.02</v>
      </c>
      <c r="J291" s="2">
        <f>ROUND((I291-SUM('Entitlement to Date'!E4:J4))/6,2)</f>
        <v>1473633.29</v>
      </c>
      <c r="K291" s="3"/>
      <c r="L291" s="3">
        <f>ROUND(((I291*-0.03)-SUM('CSI Admin to Date'!E4:J4))/6,2)</f>
        <v>-44209</v>
      </c>
      <c r="M291" s="3">
        <v>-187832.92</v>
      </c>
      <c r="N291" s="5">
        <f t="shared" si="41"/>
        <v>1241591.3700000001</v>
      </c>
    </row>
    <row r="292" spans="1:14" ht="12.75" x14ac:dyDescent="0.2">
      <c r="A292" s="35" t="s">
        <v>153</v>
      </c>
      <c r="B292" s="13" t="s">
        <v>89</v>
      </c>
      <c r="C292" s="5" t="s">
        <v>29</v>
      </c>
      <c r="D292" s="21" t="s">
        <v>80</v>
      </c>
      <c r="E292" s="5" t="s">
        <v>180</v>
      </c>
      <c r="G292" s="36">
        <f>VLOOKUP(D292,'CSI Counts'!$B$2:$N$56,13,FALSE)</f>
        <v>417.5</v>
      </c>
      <c r="H292" s="10">
        <v>8100.0333891027894</v>
      </c>
      <c r="I292" s="10">
        <f t="shared" si="42"/>
        <v>3381763.94</v>
      </c>
      <c r="J292" s="2">
        <f>ROUND((I292-SUM('Entitlement to Date'!E5:J5))/6,2)</f>
        <v>288457.28000000003</v>
      </c>
      <c r="K292" s="3"/>
      <c r="L292" s="3">
        <f>ROUND(((I292*-0.03)-SUM('CSI Admin to Date'!E5:J5))/6,2)</f>
        <v>-8653.7199999999993</v>
      </c>
      <c r="M292" s="3">
        <v>-69104.3</v>
      </c>
      <c r="N292" s="5">
        <f t="shared" si="41"/>
        <v>210699.26000000007</v>
      </c>
    </row>
    <row r="293" spans="1:14" ht="12.75" x14ac:dyDescent="0.2">
      <c r="A293" s="35" t="s">
        <v>153</v>
      </c>
      <c r="B293" s="13" t="s">
        <v>89</v>
      </c>
      <c r="C293" s="5" t="s">
        <v>29</v>
      </c>
      <c r="D293" s="21" t="s">
        <v>49</v>
      </c>
      <c r="E293" s="5" t="s">
        <v>181</v>
      </c>
      <c r="G293" s="36">
        <f>VLOOKUP(D293,'CSI Counts'!$B$2:$N$56,13,FALSE)</f>
        <v>289</v>
      </c>
      <c r="H293" s="10">
        <v>8170.2033891027895</v>
      </c>
      <c r="I293" s="10">
        <f t="shared" si="42"/>
        <v>2361188.7799999998</v>
      </c>
      <c r="J293" s="2">
        <f>ROUND((I293-SUM('Entitlement to Date'!E6:J6))/6,2)</f>
        <v>170211.12</v>
      </c>
      <c r="K293" s="3"/>
      <c r="L293" s="3">
        <f>ROUND(((I293*-0.03)-SUM('CSI Admin to Date'!E6:J6))/6,2)</f>
        <v>-5106.33</v>
      </c>
      <c r="M293" s="3"/>
      <c r="N293" s="5">
        <f t="shared" si="41"/>
        <v>165104.79</v>
      </c>
    </row>
    <row r="294" spans="1:14" ht="12.75" x14ac:dyDescent="0.2">
      <c r="A294" s="34" t="s">
        <v>153</v>
      </c>
      <c r="B294" s="13" t="s">
        <v>89</v>
      </c>
      <c r="C294" s="5" t="s">
        <v>29</v>
      </c>
      <c r="D294" s="21" t="s">
        <v>50</v>
      </c>
      <c r="E294" s="5" t="s">
        <v>182</v>
      </c>
      <c r="F294" s="15"/>
      <c r="G294" s="36">
        <f>VLOOKUP(D294,'CSI Counts'!$B$2:$N$56,13,FALSE)</f>
        <v>170</v>
      </c>
      <c r="H294" s="10">
        <v>8768.3833891027898</v>
      </c>
      <c r="I294" s="10">
        <f t="shared" si="42"/>
        <v>1490625.18</v>
      </c>
      <c r="J294" s="2">
        <f>ROUND((I294-SUM('Entitlement to Date'!E7:J7))/6,2)</f>
        <v>73240.83</v>
      </c>
      <c r="K294" s="3"/>
      <c r="L294" s="3">
        <f>ROUND(((I294*-0.03)-SUM('CSI Admin to Date'!E7:J7))/6,2)</f>
        <v>-2197.23</v>
      </c>
      <c r="M294" s="3"/>
      <c r="N294" s="5">
        <f t="shared" si="41"/>
        <v>71043.600000000006</v>
      </c>
    </row>
    <row r="295" spans="1:14" ht="12.75" x14ac:dyDescent="0.2">
      <c r="A295" s="34" t="s">
        <v>153</v>
      </c>
      <c r="B295" s="13" t="s">
        <v>89</v>
      </c>
      <c r="C295" s="5" t="s">
        <v>29</v>
      </c>
      <c r="D295" s="21" t="s">
        <v>97</v>
      </c>
      <c r="E295" s="5" t="s">
        <v>183</v>
      </c>
      <c r="F295" s="15"/>
      <c r="G295" s="36">
        <f>VLOOKUP(D295,'CSI Counts'!$B$2:$N$56,13,FALSE)</f>
        <v>94</v>
      </c>
      <c r="H295" s="10">
        <v>8921.9133891027905</v>
      </c>
      <c r="I295" s="10">
        <f t="shared" si="42"/>
        <v>838659.86</v>
      </c>
      <c r="J295" s="2">
        <f>ROUND((I295-SUM('Entitlement to Date'!E8:J8))/6,2)</f>
        <v>67487.05</v>
      </c>
      <c r="K295" s="3"/>
      <c r="L295" s="3">
        <f>ROUND(((I295*-0.03)-SUM('CSI Admin to Date'!E8:J8))/6,2)</f>
        <v>-2024.61</v>
      </c>
      <c r="M295" s="3"/>
      <c r="N295" s="5">
        <f t="shared" si="41"/>
        <v>65462.44</v>
      </c>
    </row>
    <row r="296" spans="1:14" ht="12.75" x14ac:dyDescent="0.2">
      <c r="A296" s="34" t="s">
        <v>151</v>
      </c>
      <c r="B296" s="13" t="s">
        <v>86</v>
      </c>
      <c r="C296" s="1" t="s">
        <v>85</v>
      </c>
      <c r="D296" s="22" t="s">
        <v>46</v>
      </c>
      <c r="E296" s="4" t="s">
        <v>184</v>
      </c>
      <c r="F296" s="15"/>
      <c r="G296" s="36">
        <f>VLOOKUP(D296,'CSI Counts'!$B$2:$N$56,13,FALSE)</f>
        <v>688.5</v>
      </c>
      <c r="H296" s="10">
        <v>7874.5652590868704</v>
      </c>
      <c r="I296" s="10">
        <f t="shared" si="42"/>
        <v>5421638.1799999997</v>
      </c>
      <c r="J296" s="2">
        <f>ROUND((I296-SUM('Entitlement to Date'!E9:J9))/6,2)</f>
        <v>456697.3</v>
      </c>
      <c r="K296" s="3"/>
      <c r="L296" s="3">
        <f>ROUND(((I296*-0.03)-SUM('CSI Admin to Date'!E9:J9))/6,2)</f>
        <v>-13700.92</v>
      </c>
      <c r="M296" s="3">
        <v>-68529.38</v>
      </c>
      <c r="N296" s="5">
        <f t="shared" si="41"/>
        <v>374467</v>
      </c>
    </row>
    <row r="297" spans="1:14" ht="12.75" x14ac:dyDescent="0.2">
      <c r="A297" s="34" t="s">
        <v>147</v>
      </c>
      <c r="B297" s="13" t="s">
        <v>86</v>
      </c>
      <c r="C297" s="5" t="s">
        <v>8</v>
      </c>
      <c r="D297" s="21" t="s">
        <v>45</v>
      </c>
      <c r="E297" s="18" t="s">
        <v>185</v>
      </c>
      <c r="F297" s="15"/>
      <c r="G297" s="36">
        <f>VLOOKUP(D297,'CSI Counts'!$B$2:$N$56,13,FALSE)</f>
        <v>671</v>
      </c>
      <c r="H297" s="10">
        <v>8058.2552899132461</v>
      </c>
      <c r="I297" s="10">
        <f t="shared" si="42"/>
        <v>5407089.2999999998</v>
      </c>
      <c r="J297" s="2">
        <f>ROUND((I297-SUM('Entitlement to Date'!E10:J10))/6,2)</f>
        <v>389991.61</v>
      </c>
      <c r="K297" s="3"/>
      <c r="L297" s="3">
        <f>ROUND(((I297*-0.03)-SUM('CSI Admin to Date'!E10:J10))/6,2)</f>
        <v>-11699.74</v>
      </c>
      <c r="M297" s="3">
        <v>-159448.34</v>
      </c>
      <c r="N297" s="5">
        <f t="shared" si="41"/>
        <v>218843.53</v>
      </c>
    </row>
    <row r="298" spans="1:14" ht="12.75" x14ac:dyDescent="0.2">
      <c r="A298" s="34" t="s">
        <v>161</v>
      </c>
      <c r="B298" s="15" t="s">
        <v>90</v>
      </c>
      <c r="C298" s="5" t="s">
        <v>15</v>
      </c>
      <c r="D298" s="21" t="s">
        <v>55</v>
      </c>
      <c r="E298" s="5" t="s">
        <v>186</v>
      </c>
      <c r="F298" s="15"/>
      <c r="G298" s="36">
        <f>VLOOKUP(D298,'CSI Counts'!$B$2:$N$56,13,FALSE)</f>
        <v>540</v>
      </c>
      <c r="H298" s="10">
        <v>7587.33</v>
      </c>
      <c r="I298" s="10">
        <f t="shared" si="42"/>
        <v>4097158.2</v>
      </c>
      <c r="J298" s="2">
        <f>ROUND((I298-SUM('Entitlement to Date'!E11:J11))/6,2)</f>
        <v>324137.27</v>
      </c>
      <c r="K298" s="3"/>
      <c r="L298" s="3">
        <f>ROUND(((I298*-0.03)-SUM('CSI Admin to Date'!E11:J11))/6,2)</f>
        <v>-9724.1200000000008</v>
      </c>
      <c r="M298" s="3">
        <v>-146415.41999999998</v>
      </c>
      <c r="N298" s="5">
        <f t="shared" si="41"/>
        <v>167997.73000000004</v>
      </c>
    </row>
    <row r="299" spans="1:14" ht="12.75" x14ac:dyDescent="0.2">
      <c r="A299" s="34" t="s">
        <v>161</v>
      </c>
      <c r="B299" s="15" t="s">
        <v>90</v>
      </c>
      <c r="C299" s="5" t="s">
        <v>15</v>
      </c>
      <c r="D299" s="21" t="s">
        <v>56</v>
      </c>
      <c r="E299" s="5" t="s">
        <v>187</v>
      </c>
      <c r="F299" s="15"/>
      <c r="G299" s="36">
        <f>VLOOKUP(D299,'CSI Counts'!$B$2:$N$56,13,FALSE)</f>
        <v>248.5</v>
      </c>
      <c r="H299" s="10">
        <v>7664.162586250216</v>
      </c>
      <c r="I299" s="10">
        <f t="shared" si="42"/>
        <v>1904544.4</v>
      </c>
      <c r="J299" s="2">
        <f>ROUND((I299-SUM('Entitlement to Date'!E12:J12))/6,2)</f>
        <v>158586.49</v>
      </c>
      <c r="K299" s="3"/>
      <c r="L299" s="3">
        <f>ROUND(((I299*-0.03)-SUM('CSI Admin to Date'!E12:J12))/6,2)</f>
        <v>-4757.59</v>
      </c>
      <c r="M299" s="3"/>
      <c r="N299" s="5">
        <f t="shared" si="41"/>
        <v>153828.9</v>
      </c>
    </row>
    <row r="300" spans="1:14" ht="12.75" x14ac:dyDescent="0.2">
      <c r="A300" s="34" t="s">
        <v>161</v>
      </c>
      <c r="B300" s="15" t="s">
        <v>90</v>
      </c>
      <c r="C300" s="1" t="s">
        <v>15</v>
      </c>
      <c r="D300" s="22" t="s">
        <v>79</v>
      </c>
      <c r="E300" s="1" t="s">
        <v>77</v>
      </c>
      <c r="F300" s="15"/>
      <c r="G300" s="36">
        <f>VLOOKUP(D300,'CSI Counts'!$B$2:$N$56,13,FALSE)</f>
        <v>630.5</v>
      </c>
      <c r="H300" s="10">
        <v>7700.3525862502165</v>
      </c>
      <c r="I300" s="10">
        <f t="shared" si="42"/>
        <v>4855072.3099999996</v>
      </c>
      <c r="J300" s="2">
        <f>ROUND((I300-SUM('Entitlement to Date'!E13:J13))/6,2)</f>
        <v>413391.63</v>
      </c>
      <c r="K300" s="3"/>
      <c r="L300" s="3">
        <f>ROUND(((I300*-0.03)-SUM('CSI Admin to Date'!E13:J13))/6,2)</f>
        <v>-12401.75</v>
      </c>
      <c r="M300" s="3"/>
      <c r="N300" s="5">
        <f t="shared" si="41"/>
        <v>400989.88</v>
      </c>
    </row>
    <row r="301" spans="1:14" ht="12.75" x14ac:dyDescent="0.2">
      <c r="A301" s="34" t="s">
        <v>161</v>
      </c>
      <c r="B301" s="15" t="s">
        <v>90</v>
      </c>
      <c r="C301" s="1" t="s">
        <v>15</v>
      </c>
      <c r="D301" s="22" t="s">
        <v>54</v>
      </c>
      <c r="E301" s="1" t="s">
        <v>17</v>
      </c>
      <c r="F301" s="15"/>
      <c r="G301" s="36">
        <f>VLOOKUP(D301,'CSI Counts'!$B$2:$N$56,13,FALSE)</f>
        <v>382</v>
      </c>
      <c r="H301" s="10">
        <v>7617.3525862502165</v>
      </c>
      <c r="I301" s="10">
        <f t="shared" si="42"/>
        <v>2909828.69</v>
      </c>
      <c r="J301" s="2">
        <f>ROUND((I301-SUM('Entitlement to Date'!E14:J14))/6,2)</f>
        <v>223871.86</v>
      </c>
      <c r="K301" s="3"/>
      <c r="L301" s="3">
        <f>ROUND(((I301*-0.03)-SUM('CSI Admin to Date'!E14:J14))/6,2)</f>
        <v>-6716.16</v>
      </c>
      <c r="M301" s="3">
        <v>-42500</v>
      </c>
      <c r="N301" s="5">
        <f t="shared" si="41"/>
        <v>174655.69999999998</v>
      </c>
    </row>
    <row r="302" spans="1:14" ht="12.75" x14ac:dyDescent="0.2">
      <c r="A302" s="34" t="s">
        <v>161</v>
      </c>
      <c r="B302" s="15" t="s">
        <v>90</v>
      </c>
      <c r="C302" s="1" t="s">
        <v>15</v>
      </c>
      <c r="D302" s="22" t="s">
        <v>114</v>
      </c>
      <c r="E302" s="1" t="s">
        <v>124</v>
      </c>
      <c r="F302" s="15"/>
      <c r="G302" s="36">
        <f>VLOOKUP(D302,'CSI Counts'!$B$2:$N$56,13,FALSE)</f>
        <v>224</v>
      </c>
      <c r="H302" s="10">
        <v>7938.1325862502172</v>
      </c>
      <c r="I302" s="10">
        <f t="shared" si="42"/>
        <v>1778141.7</v>
      </c>
      <c r="J302" s="2">
        <f>ROUND((I302-SUM('Entitlement to Date'!E15:J15))/6,2)</f>
        <v>162847.13</v>
      </c>
      <c r="K302" s="3"/>
      <c r="L302" s="3">
        <f>ROUND(((I302*-0.03)-SUM('CSI Admin to Date'!E15:J15))/6,2)</f>
        <v>-4885.42</v>
      </c>
      <c r="M302" s="3"/>
      <c r="N302" s="5">
        <f t="shared" si="41"/>
        <v>157961.71</v>
      </c>
    </row>
    <row r="303" spans="1:14" ht="12.75" x14ac:dyDescent="0.2">
      <c r="A303" s="34" t="s">
        <v>161</v>
      </c>
      <c r="B303" s="15" t="s">
        <v>90</v>
      </c>
      <c r="C303" s="1" t="s">
        <v>15</v>
      </c>
      <c r="D303" s="22" t="s">
        <v>118</v>
      </c>
      <c r="E303" s="4" t="s">
        <v>119</v>
      </c>
      <c r="G303" s="36">
        <f>VLOOKUP(D303,'CSI Counts'!$B$2:$N$56,13,FALSE)</f>
        <v>338</v>
      </c>
      <c r="H303" s="10">
        <v>8037.4825862502157</v>
      </c>
      <c r="I303" s="10">
        <f t="shared" si="42"/>
        <v>2716669.11</v>
      </c>
      <c r="J303" s="2">
        <f>ROUND((I303-SUM('Entitlement to Date'!E16:J16))/6,2)</f>
        <v>263182.25</v>
      </c>
      <c r="K303" s="3"/>
      <c r="L303" s="3">
        <f>ROUND(((I303*-0.03)-SUM('CSI Admin to Date'!E16:J16))/6,2)</f>
        <v>-7895.47</v>
      </c>
      <c r="M303" s="3"/>
      <c r="N303" s="5">
        <f t="shared" si="41"/>
        <v>255286.78</v>
      </c>
    </row>
    <row r="304" spans="1:14" ht="12.75" x14ac:dyDescent="0.2">
      <c r="A304" s="34" t="s">
        <v>161</v>
      </c>
      <c r="B304" s="15" t="s">
        <v>90</v>
      </c>
      <c r="C304" s="1" t="s">
        <v>15</v>
      </c>
      <c r="D304" s="22" t="s">
        <v>58</v>
      </c>
      <c r="E304" s="1" t="s">
        <v>188</v>
      </c>
      <c r="G304" s="36">
        <f>VLOOKUP(D304,'CSI Counts'!$B$2:$N$56,13,FALSE)</f>
        <v>304</v>
      </c>
      <c r="H304" s="10">
        <v>7769.662586250216</v>
      </c>
      <c r="I304" s="10">
        <f t="shared" si="42"/>
        <v>2361977.4300000002</v>
      </c>
      <c r="J304" s="2">
        <f>ROUND((I304-SUM('Entitlement to Date'!E17:J17))/6,2)</f>
        <v>183596.24</v>
      </c>
      <c r="K304" s="3"/>
      <c r="L304" s="3">
        <f>ROUND(((I304*-0.03)-SUM('CSI Admin to Date'!E17:J17))/6,2)</f>
        <v>-5507.88</v>
      </c>
      <c r="M304" s="3">
        <v>-17523.8</v>
      </c>
      <c r="N304" s="5">
        <f t="shared" si="41"/>
        <v>160564.56</v>
      </c>
    </row>
    <row r="305" spans="1:14" ht="12.75" x14ac:dyDescent="0.2">
      <c r="A305" s="34" t="s">
        <v>161</v>
      </c>
      <c r="B305" s="15" t="s">
        <v>90</v>
      </c>
      <c r="C305" s="1" t="s">
        <v>15</v>
      </c>
      <c r="D305" s="22" t="s">
        <v>71</v>
      </c>
      <c r="E305" s="4" t="s">
        <v>70</v>
      </c>
      <c r="G305" s="36">
        <f>VLOOKUP(D305,'CSI Counts'!$B$2:$N$56,13,FALSE)</f>
        <v>58</v>
      </c>
      <c r="H305" s="10">
        <v>7587.33</v>
      </c>
      <c r="I305" s="10">
        <f t="shared" si="42"/>
        <v>440065.14</v>
      </c>
      <c r="J305" s="2">
        <f>ROUND((I305-SUM('Entitlement to Date'!E18:J18))/6,2)</f>
        <v>29626.639999999999</v>
      </c>
      <c r="K305" s="3"/>
      <c r="L305" s="3">
        <f>ROUND(((I305*-0.03)-SUM('CSI Admin to Date'!E18:J18))/6,2)</f>
        <v>-888.8</v>
      </c>
      <c r="M305" s="3"/>
      <c r="N305" s="5">
        <f t="shared" si="41"/>
        <v>28737.84</v>
      </c>
    </row>
    <row r="306" spans="1:14" ht="12.75" x14ac:dyDescent="0.2">
      <c r="A306" s="34" t="s">
        <v>161</v>
      </c>
      <c r="B306" s="15" t="s">
        <v>90</v>
      </c>
      <c r="C306" s="7" t="s">
        <v>15</v>
      </c>
      <c r="D306" s="21" t="s">
        <v>57</v>
      </c>
      <c r="E306" s="7" t="s">
        <v>32</v>
      </c>
      <c r="G306" s="36">
        <f>VLOOKUP(D306,'CSI Counts'!$B$2:$N$56,13,FALSE)</f>
        <v>323.8</v>
      </c>
      <c r="H306" s="10">
        <v>7602.3125862502156</v>
      </c>
      <c r="I306" s="10">
        <f t="shared" si="42"/>
        <v>2461628.8199999998</v>
      </c>
      <c r="J306" s="2">
        <f>ROUND((I306-SUM('Entitlement to Date'!E19:J19))/6,2)</f>
        <v>196109.52</v>
      </c>
      <c r="K306" s="3"/>
      <c r="L306" s="3">
        <f>ROUND(((I306*-0.03)-SUM('CSI Admin to Date'!E19:J19))/6,2)</f>
        <v>-5883.29</v>
      </c>
      <c r="M306" s="3"/>
      <c r="N306" s="5">
        <f t="shared" si="41"/>
        <v>190226.22999999998</v>
      </c>
    </row>
    <row r="307" spans="1:14" ht="12.75" x14ac:dyDescent="0.2">
      <c r="A307" s="34" t="s">
        <v>161</v>
      </c>
      <c r="B307" s="15" t="s">
        <v>90</v>
      </c>
      <c r="C307" s="1" t="s">
        <v>15</v>
      </c>
      <c r="D307" s="21" t="s">
        <v>53</v>
      </c>
      <c r="E307" s="1" t="s">
        <v>189</v>
      </c>
      <c r="G307" s="36">
        <f>VLOOKUP(D307,'CSI Counts'!$B$2:$N$56,13,FALSE)</f>
        <v>906.1</v>
      </c>
      <c r="H307" s="10">
        <v>7587.33</v>
      </c>
      <c r="I307" s="10">
        <f t="shared" si="42"/>
        <v>6874879.71</v>
      </c>
      <c r="J307" s="2">
        <f>ROUND((I307-SUM('Entitlement to Date'!E20:J20))/6,2)</f>
        <v>551430.66</v>
      </c>
      <c r="K307" s="3"/>
      <c r="L307" s="3">
        <f>ROUND(((I307*-0.03)-SUM('CSI Admin to Date'!E20:J20))/6,2)</f>
        <v>-16542.919999999998</v>
      </c>
      <c r="M307" s="3">
        <v>-63601.67</v>
      </c>
      <c r="N307" s="5">
        <f t="shared" si="41"/>
        <v>471286.07</v>
      </c>
    </row>
    <row r="308" spans="1:14" ht="12.75" x14ac:dyDescent="0.2">
      <c r="A308" s="35" t="s">
        <v>157</v>
      </c>
      <c r="B308" s="13" t="s">
        <v>87</v>
      </c>
      <c r="C308" s="5" t="s">
        <v>87</v>
      </c>
      <c r="D308" s="21" t="s">
        <v>173</v>
      </c>
      <c r="E308" s="5" t="s">
        <v>190</v>
      </c>
      <c r="G308" s="36">
        <f>VLOOKUP(D308,'CSI Counts'!$B$2:$N$56,13,FALSE)</f>
        <v>591</v>
      </c>
      <c r="H308" s="10">
        <v>7721.6850646042849</v>
      </c>
      <c r="I308" s="10">
        <f t="shared" si="42"/>
        <v>4563515.87</v>
      </c>
      <c r="J308" s="2">
        <f>ROUND((I308-SUM('Entitlement to Date'!E21:J21))/6,2)</f>
        <v>359170.31</v>
      </c>
      <c r="K308" s="3"/>
      <c r="L308" s="3">
        <f>ROUND(((I308*-0.03)-SUM('CSI Admin to Date'!E21:J21))/6,2)</f>
        <v>-10775.11</v>
      </c>
      <c r="M308" s="3"/>
      <c r="N308" s="5">
        <f t="shared" si="41"/>
        <v>348395.2</v>
      </c>
    </row>
    <row r="309" spans="1:14" ht="12.75" x14ac:dyDescent="0.2">
      <c r="A309" s="35" t="s">
        <v>157</v>
      </c>
      <c r="B309" s="13" t="s">
        <v>87</v>
      </c>
      <c r="C309" s="1" t="s">
        <v>87</v>
      </c>
      <c r="D309" s="22" t="s">
        <v>51</v>
      </c>
      <c r="E309" s="1" t="s">
        <v>191</v>
      </c>
      <c r="G309" s="36">
        <f>VLOOKUP(D309,'CSI Counts'!$B$2:$N$56,13,FALSE)</f>
        <v>829</v>
      </c>
      <c r="H309" s="10">
        <v>7660.1089276442835</v>
      </c>
      <c r="I309" s="10">
        <f t="shared" si="42"/>
        <v>6350230.2999999998</v>
      </c>
      <c r="J309" s="2">
        <f>ROUND((I309-SUM('Entitlement to Date'!E22:J22))/6,2)</f>
        <v>519158.5</v>
      </c>
      <c r="K309" s="3"/>
      <c r="L309" s="3">
        <f>ROUND(((I309*-0.03)-SUM('CSI Admin to Date'!E22:J22))/6,2)</f>
        <v>-15574.75</v>
      </c>
      <c r="M309" s="3">
        <v>-73961.25</v>
      </c>
      <c r="N309" s="5">
        <f t="shared" si="41"/>
        <v>429622.5</v>
      </c>
    </row>
    <row r="310" spans="1:14" ht="12.75" x14ac:dyDescent="0.2">
      <c r="A310" s="35" t="s">
        <v>165</v>
      </c>
      <c r="B310" s="13" t="s">
        <v>91</v>
      </c>
      <c r="C310" s="7" t="s">
        <v>21</v>
      </c>
      <c r="D310" s="22" t="s">
        <v>61</v>
      </c>
      <c r="E310" s="7" t="s">
        <v>192</v>
      </c>
      <c r="G310" s="36">
        <f>VLOOKUP(D310,'CSI Counts'!$B$2:$N$56,13,FALSE)</f>
        <v>195.5</v>
      </c>
      <c r="H310" s="10">
        <v>7837.8366861761187</v>
      </c>
      <c r="I310" s="10">
        <f t="shared" si="42"/>
        <v>1532297.07</v>
      </c>
      <c r="J310" s="2">
        <f>ROUND((I310-SUM('Entitlement to Date'!E23:J23))/6,2)</f>
        <v>127332.68</v>
      </c>
      <c r="K310" s="3"/>
      <c r="L310" s="3">
        <f>ROUND(((I310*-0.03)-SUM('CSI Admin to Date'!E23:J23))/6,2)</f>
        <v>-3819.98</v>
      </c>
      <c r="M310" s="3"/>
      <c r="N310" s="5">
        <f t="shared" si="41"/>
        <v>123512.7</v>
      </c>
    </row>
    <row r="311" spans="1:14" ht="12.75" x14ac:dyDescent="0.2">
      <c r="A311" s="35" t="s">
        <v>165</v>
      </c>
      <c r="B311" s="13" t="s">
        <v>91</v>
      </c>
      <c r="C311" s="5" t="s">
        <v>21</v>
      </c>
      <c r="D311" s="21" t="s">
        <v>62</v>
      </c>
      <c r="E311" s="5" t="s">
        <v>23</v>
      </c>
      <c r="G311" s="36">
        <f>VLOOKUP(D311,'CSI Counts'!$B$2:$N$56,13,FALSE)</f>
        <v>246.5</v>
      </c>
      <c r="H311" s="10">
        <v>7745.7166861761179</v>
      </c>
      <c r="I311" s="10">
        <f t="shared" si="42"/>
        <v>1909319.16</v>
      </c>
      <c r="J311" s="2">
        <f>ROUND((I311-SUM('Entitlement to Date'!E24:J24))/6,2)</f>
        <v>157108.99</v>
      </c>
      <c r="K311" s="3"/>
      <c r="L311" s="3">
        <f>ROUND(((I311*-0.03)-SUM('CSI Admin to Date'!E24:J24))/6,2)</f>
        <v>-4713.2700000000004</v>
      </c>
      <c r="M311" s="3"/>
      <c r="N311" s="5">
        <f t="shared" si="41"/>
        <v>152395.72</v>
      </c>
    </row>
    <row r="312" spans="1:14" ht="12.75" x14ac:dyDescent="0.2">
      <c r="A312" s="35" t="s">
        <v>158</v>
      </c>
      <c r="B312" s="13" t="s">
        <v>13</v>
      </c>
      <c r="C312" s="5" t="s">
        <v>13</v>
      </c>
      <c r="D312" s="21" t="s">
        <v>52</v>
      </c>
      <c r="E312" s="5" t="s">
        <v>193</v>
      </c>
      <c r="G312" s="36">
        <f>VLOOKUP(D312,'CSI Counts'!$B$2:$N$56,13,FALSE)</f>
        <v>309</v>
      </c>
      <c r="H312" s="10">
        <v>8104.7364992128823</v>
      </c>
      <c r="I312" s="10">
        <f t="shared" si="42"/>
        <v>2504363.58</v>
      </c>
      <c r="J312" s="2">
        <f>ROUND((I312-SUM('Entitlement to Date'!E25:J25))/6,2)</f>
        <v>201468.52</v>
      </c>
      <c r="K312" s="3"/>
      <c r="L312" s="3">
        <f>ROUND(((I312*-0.03)-SUM('CSI Admin to Date'!E25:J25))/6,2)</f>
        <v>-6044.05</v>
      </c>
      <c r="M312" s="3"/>
      <c r="N312" s="5">
        <f t="shared" si="41"/>
        <v>195424.47</v>
      </c>
    </row>
    <row r="313" spans="1:14" ht="12.75" x14ac:dyDescent="0.2">
      <c r="A313" s="35" t="s">
        <v>164</v>
      </c>
      <c r="B313" s="13" t="s">
        <v>84</v>
      </c>
      <c r="C313" s="1" t="s">
        <v>84</v>
      </c>
      <c r="D313" s="22" t="s">
        <v>96</v>
      </c>
      <c r="E313" s="1" t="s">
        <v>83</v>
      </c>
      <c r="G313" s="36">
        <f>VLOOKUP(D313,'CSI Counts'!$B$2:$N$56,13,FALSE)</f>
        <v>695.5</v>
      </c>
      <c r="H313" s="10">
        <v>7808.9980095504015</v>
      </c>
      <c r="I313" s="10">
        <f t="shared" si="42"/>
        <v>5431158.1200000001</v>
      </c>
      <c r="J313" s="2">
        <f>ROUND((I313-SUM('Entitlement to Date'!E26:J26))/6,2)</f>
        <v>451988.62</v>
      </c>
      <c r="K313" s="3"/>
      <c r="L313" s="3">
        <f>ROUND(((I313*-0.03)-SUM('CSI Admin to Date'!E26:J26))/6,2)</f>
        <v>-13559.66</v>
      </c>
      <c r="M313" s="3">
        <v>-52246.990000000005</v>
      </c>
      <c r="N313" s="5">
        <f t="shared" si="41"/>
        <v>386181.97000000003</v>
      </c>
    </row>
    <row r="314" spans="1:14" ht="12.75" x14ac:dyDescent="0.2">
      <c r="A314" s="35" t="s">
        <v>168</v>
      </c>
      <c r="B314" s="13" t="s">
        <v>88</v>
      </c>
      <c r="C314" s="1" t="s">
        <v>25</v>
      </c>
      <c r="D314" s="22" t="s">
        <v>65</v>
      </c>
      <c r="E314" s="1" t="s">
        <v>26</v>
      </c>
      <c r="G314" s="36">
        <f>VLOOKUP(D314,'CSI Counts'!$B$2:$N$56,13,FALSE)</f>
        <v>886.3</v>
      </c>
      <c r="H314" s="10">
        <v>7587.33</v>
      </c>
      <c r="I314" s="10">
        <f t="shared" si="42"/>
        <v>6724650.5800000001</v>
      </c>
      <c r="J314" s="2">
        <f>ROUND((I314-SUM('Entitlement to Date'!E27:J27))/6,2)</f>
        <v>566607.68000000005</v>
      </c>
      <c r="K314" s="3"/>
      <c r="L314" s="3">
        <f>ROUND(((I314*-0.03)-SUM('CSI Admin to Date'!E27:J27))/6,2)</f>
        <v>-16998.23</v>
      </c>
      <c r="M314" s="3">
        <v>-110618.33</v>
      </c>
      <c r="N314" s="5">
        <f t="shared" si="41"/>
        <v>438991.12000000005</v>
      </c>
    </row>
    <row r="315" spans="1:14" ht="12.75" x14ac:dyDescent="0.2">
      <c r="A315" s="35" t="s">
        <v>168</v>
      </c>
      <c r="B315" s="13" t="s">
        <v>88</v>
      </c>
      <c r="C315" s="1" t="s">
        <v>25</v>
      </c>
      <c r="D315" s="22" t="s">
        <v>81</v>
      </c>
      <c r="E315" s="1" t="s">
        <v>194</v>
      </c>
      <c r="G315" s="36">
        <f>VLOOKUP(D315,'CSI Counts'!$B$2:$N$56,13,FALSE)</f>
        <v>53</v>
      </c>
      <c r="H315" s="10">
        <v>7587.33</v>
      </c>
      <c r="I315" s="10">
        <f t="shared" si="42"/>
        <v>402128.49</v>
      </c>
      <c r="J315" s="2">
        <f>ROUND((I315-SUM('Entitlement to Date'!E28:J28))/6,2)</f>
        <v>29625.919999999998</v>
      </c>
      <c r="K315" s="3"/>
      <c r="L315" s="3">
        <f>ROUND(((I315*-0.03)-SUM('CSI Admin to Date'!E28:J28))/6,2)</f>
        <v>-888.78</v>
      </c>
      <c r="M315" s="3"/>
      <c r="N315" s="5">
        <f t="shared" si="41"/>
        <v>28737.14</v>
      </c>
    </row>
    <row r="316" spans="1:14" ht="12.75" x14ac:dyDescent="0.2">
      <c r="A316" s="35" t="s">
        <v>166</v>
      </c>
      <c r="B316" s="13" t="s">
        <v>92</v>
      </c>
      <c r="C316" s="1" t="s">
        <v>24</v>
      </c>
      <c r="D316" s="22" t="s">
        <v>63</v>
      </c>
      <c r="E316" s="1" t="s">
        <v>195</v>
      </c>
      <c r="G316" s="36">
        <f>VLOOKUP(D316,'CSI Counts'!$B$2:$N$56,13,FALSE)</f>
        <v>185</v>
      </c>
      <c r="H316" s="10">
        <v>7587.33</v>
      </c>
      <c r="I316" s="10">
        <f t="shared" si="42"/>
        <v>1403656.05</v>
      </c>
      <c r="J316" s="2">
        <f>ROUND((I316-SUM('Entitlement to Date'!E29:J29))/6,2)</f>
        <v>111475.33</v>
      </c>
      <c r="K316" s="3"/>
      <c r="L316" s="3">
        <f>ROUND(((I316*-0.03)-SUM('CSI Admin to Date'!E29:J29))/6,2)</f>
        <v>-3344.26</v>
      </c>
      <c r="M316" s="3"/>
      <c r="N316" s="5">
        <f t="shared" si="41"/>
        <v>108131.07</v>
      </c>
    </row>
    <row r="317" spans="1:14" ht="12.75" x14ac:dyDescent="0.2">
      <c r="A317" s="35" t="s">
        <v>166</v>
      </c>
      <c r="B317" s="13" t="s">
        <v>92</v>
      </c>
      <c r="C317" s="1" t="s">
        <v>24</v>
      </c>
      <c r="D317" s="22" t="s">
        <v>174</v>
      </c>
      <c r="E317" s="1" t="s">
        <v>196</v>
      </c>
      <c r="G317" s="36">
        <f>VLOOKUP(D317,'CSI Counts'!$B$2:$N$56,13,FALSE)</f>
        <v>243.5</v>
      </c>
      <c r="H317" s="10">
        <v>7587.33</v>
      </c>
      <c r="I317" s="10">
        <f t="shared" si="42"/>
        <v>1847514.86</v>
      </c>
      <c r="J317" s="2">
        <f>ROUND((I317-SUM('Entitlement to Date'!E30:J30))/6,2)</f>
        <v>161310.1</v>
      </c>
      <c r="K317" s="3"/>
      <c r="L317" s="3">
        <f>ROUND(((I317*-0.03)-SUM('CSI Admin to Date'!E30:J30))/6,2)</f>
        <v>-4839.3</v>
      </c>
      <c r="M317" s="3"/>
      <c r="N317" s="5">
        <f t="shared" si="41"/>
        <v>156470.80000000002</v>
      </c>
    </row>
    <row r="318" spans="1:14" ht="12.75" x14ac:dyDescent="0.2">
      <c r="A318" s="35" t="s">
        <v>166</v>
      </c>
      <c r="B318" s="13" t="s">
        <v>92</v>
      </c>
      <c r="C318" s="1" t="s">
        <v>24</v>
      </c>
      <c r="D318" s="22" t="s">
        <v>115</v>
      </c>
      <c r="E318" s="1" t="s">
        <v>120</v>
      </c>
      <c r="G318" s="36">
        <f>VLOOKUP(D318,'CSI Counts'!$B$2:$N$56,13,FALSE)</f>
        <v>191</v>
      </c>
      <c r="H318" s="10">
        <v>7587.33</v>
      </c>
      <c r="I318" s="10">
        <f t="shared" si="42"/>
        <v>1449180.03</v>
      </c>
      <c r="J318" s="2">
        <f>ROUND((I318-SUM('Entitlement to Date'!E31:J31))/6,2)</f>
        <v>131314.37</v>
      </c>
      <c r="K318" s="3"/>
      <c r="L318" s="3">
        <f>ROUND(((I318*-0.03)-SUM('CSI Admin to Date'!E31:J31))/6,2)</f>
        <v>-3939.43</v>
      </c>
      <c r="M318" s="3"/>
      <c r="N318" s="5">
        <f t="shared" si="41"/>
        <v>127374.94</v>
      </c>
    </row>
    <row r="319" spans="1:14" ht="12.75" x14ac:dyDescent="0.2">
      <c r="A319" s="35" t="s">
        <v>166</v>
      </c>
      <c r="B319" s="13" t="s">
        <v>92</v>
      </c>
      <c r="C319" s="1" t="s">
        <v>24</v>
      </c>
      <c r="D319" s="22" t="s">
        <v>117</v>
      </c>
      <c r="E319" s="1" t="s">
        <v>197</v>
      </c>
      <c r="G319" s="36">
        <f>VLOOKUP(D319,'CSI Counts'!$B$2:$N$56,13,FALSE)</f>
        <v>615.6</v>
      </c>
      <c r="H319" s="10">
        <v>7587.33</v>
      </c>
      <c r="I319" s="10">
        <f t="shared" si="42"/>
        <v>4670760.3499999996</v>
      </c>
      <c r="J319" s="2">
        <f>ROUND((I319-SUM('Entitlement to Date'!E32:J32))/6,2)</f>
        <v>560293.1</v>
      </c>
      <c r="K319" s="3"/>
      <c r="L319" s="3">
        <f>ROUND(((I319*-0.03)-SUM('CSI Admin to Date'!E32:J32))/6,2)</f>
        <v>-16808.79</v>
      </c>
      <c r="M319" s="3"/>
      <c r="N319" s="5">
        <f t="shared" si="41"/>
        <v>543484.30999999994</v>
      </c>
    </row>
    <row r="320" spans="1:14" ht="12.75" x14ac:dyDescent="0.2">
      <c r="A320" s="35" t="s">
        <v>166</v>
      </c>
      <c r="B320" s="13" t="s">
        <v>92</v>
      </c>
      <c r="C320" s="1" t="s">
        <v>24</v>
      </c>
      <c r="D320" s="22" t="s">
        <v>64</v>
      </c>
      <c r="E320" s="1" t="s">
        <v>198</v>
      </c>
      <c r="G320" s="36">
        <f>VLOOKUP(D320,'CSI Counts'!$B$2:$N$56,13,FALSE)</f>
        <v>1273</v>
      </c>
      <c r="H320" s="10">
        <v>7587.33</v>
      </c>
      <c r="I320" s="10">
        <f t="shared" si="42"/>
        <v>9658671.0899999999</v>
      </c>
      <c r="J320" s="2">
        <f>ROUND((I320-SUM('Entitlement to Date'!E33:J33))/6,2)</f>
        <v>784612.57</v>
      </c>
      <c r="K320" s="3"/>
      <c r="L320" s="3">
        <f>ROUND(((I320*-0.03)-SUM('CSI Admin to Date'!E33:J33))/6,2)</f>
        <v>-23538.38</v>
      </c>
      <c r="M320" s="3">
        <v>-160915</v>
      </c>
      <c r="N320" s="5">
        <f t="shared" si="41"/>
        <v>600159.18999999994</v>
      </c>
    </row>
    <row r="321" spans="1:15" ht="12.75" x14ac:dyDescent="0.2">
      <c r="A321" s="35" t="s">
        <v>166</v>
      </c>
      <c r="B321" s="13" t="s">
        <v>92</v>
      </c>
      <c r="C321" s="1" t="s">
        <v>24</v>
      </c>
      <c r="D321" s="22" t="s">
        <v>116</v>
      </c>
      <c r="E321" s="1" t="s">
        <v>199</v>
      </c>
      <c r="G321" s="36">
        <f>VLOOKUP(D321,'CSI Counts'!$B$2:$N$56,13,FALSE)</f>
        <v>220.5</v>
      </c>
      <c r="H321" s="10">
        <v>7587.33</v>
      </c>
      <c r="I321" s="10">
        <f t="shared" si="42"/>
        <v>1673006.27</v>
      </c>
      <c r="J321" s="2">
        <f>ROUND((I321-SUM('Entitlement to Date'!E34:J34))/6,2)</f>
        <v>193390.22</v>
      </c>
      <c r="K321" s="3"/>
      <c r="L321" s="3">
        <f>ROUND(((I321*-0.03)-SUM('CSI Admin to Date'!E34:J34))/6,2)</f>
        <v>-5801.71</v>
      </c>
      <c r="M321" s="3"/>
      <c r="N321" s="5">
        <f t="shared" si="41"/>
        <v>187588.51</v>
      </c>
    </row>
    <row r="322" spans="1:15" ht="12.75" x14ac:dyDescent="0.2">
      <c r="A322" s="35" t="s">
        <v>162</v>
      </c>
      <c r="B322" s="13" t="s">
        <v>93</v>
      </c>
      <c r="C322" s="5" t="s">
        <v>19</v>
      </c>
      <c r="D322" s="21" t="s">
        <v>59</v>
      </c>
      <c r="E322" s="5" t="s">
        <v>200</v>
      </c>
      <c r="G322" s="36">
        <f>VLOOKUP(D322,'CSI Counts'!$B$2:$N$56,13,FALSE)</f>
        <v>313</v>
      </c>
      <c r="H322" s="10">
        <v>8110.2906762699067</v>
      </c>
      <c r="I322" s="10">
        <f t="shared" si="42"/>
        <v>2538520.98</v>
      </c>
      <c r="J322" s="2">
        <f>ROUND((I322-SUM('Entitlement to Date'!E35:J35))/6,2)</f>
        <v>213670.65</v>
      </c>
      <c r="K322" s="3"/>
      <c r="L322" s="3">
        <f>ROUND(((I322*-0.03)-SUM('CSI Admin to Date'!E35:J35))/6,2)</f>
        <v>-6410.12</v>
      </c>
      <c r="M322" s="3"/>
      <c r="N322" s="5">
        <f t="shared" si="41"/>
        <v>207260.53</v>
      </c>
    </row>
    <row r="323" spans="1:15" ht="12.75" x14ac:dyDescent="0.2">
      <c r="A323" s="35" t="s">
        <v>162</v>
      </c>
      <c r="B323" s="13" t="s">
        <v>93</v>
      </c>
      <c r="C323" s="7" t="s">
        <v>19</v>
      </c>
      <c r="D323" s="22" t="s">
        <v>60</v>
      </c>
      <c r="E323" s="7" t="s">
        <v>201</v>
      </c>
      <c r="G323" s="36">
        <f>VLOOKUP(D323,'CSI Counts'!$B$2:$N$56,13,FALSE)</f>
        <v>372.6</v>
      </c>
      <c r="H323" s="10">
        <v>7973.3106762699072</v>
      </c>
      <c r="I323" s="10">
        <f t="shared" si="42"/>
        <v>2970855.56</v>
      </c>
      <c r="J323" s="2">
        <f>ROUND((I323-SUM('Entitlement to Date'!E36:J36))/6,2)</f>
        <v>244118.01</v>
      </c>
      <c r="K323" s="3"/>
      <c r="L323" s="3">
        <f>ROUND(((I323*-0.03)-SUM('CSI Admin to Date'!E36:J36))/6,2)</f>
        <v>-7323.54</v>
      </c>
      <c r="M323" s="3">
        <v>-42338.83</v>
      </c>
      <c r="N323" s="5">
        <f t="shared" si="41"/>
        <v>194455.64</v>
      </c>
    </row>
    <row r="324" spans="1:15" ht="12.75" x14ac:dyDescent="0.2">
      <c r="A324" s="35" t="s">
        <v>156</v>
      </c>
      <c r="B324" s="13" t="s">
        <v>94</v>
      </c>
      <c r="C324" s="5" t="s">
        <v>40</v>
      </c>
      <c r="D324" s="21" t="s">
        <v>82</v>
      </c>
      <c r="E324" s="5" t="s">
        <v>202</v>
      </c>
      <c r="G324" s="36">
        <f>VLOOKUP(D324,'CSI Counts'!$B$2:$N$56,13,FALSE)</f>
        <v>87</v>
      </c>
      <c r="H324" s="10">
        <v>7646.8323310244241</v>
      </c>
      <c r="I324" s="10">
        <f t="shared" si="42"/>
        <v>665274.41</v>
      </c>
      <c r="J324" s="2">
        <f>ROUND((I324-SUM('Entitlement to Date'!E37:J37))/6,2)</f>
        <v>54393.65</v>
      </c>
      <c r="K324" s="3"/>
      <c r="L324" s="3">
        <f>ROUND(((I324*-0.03)-SUM('CSI Admin to Date'!E37:J37))/6,2)</f>
        <v>-1631.81</v>
      </c>
      <c r="M324" s="3"/>
      <c r="N324" s="5">
        <f t="shared" si="41"/>
        <v>52761.840000000004</v>
      </c>
    </row>
    <row r="325" spans="1:15" ht="12.75" x14ac:dyDescent="0.2">
      <c r="A325" s="35" t="s">
        <v>169</v>
      </c>
      <c r="B325" s="13" t="s">
        <v>95</v>
      </c>
      <c r="C325" s="5" t="s">
        <v>175</v>
      </c>
      <c r="D325" s="21" t="s">
        <v>74</v>
      </c>
      <c r="E325" s="5" t="s">
        <v>203</v>
      </c>
      <c r="G325" s="36">
        <f>VLOOKUP(D325,'CSI Counts'!$B$2:$N$56,13,FALSE)</f>
        <v>135</v>
      </c>
      <c r="H325" s="10">
        <v>7859.3338239375189</v>
      </c>
      <c r="I325" s="10">
        <f t="shared" si="42"/>
        <v>1061010.07</v>
      </c>
      <c r="J325" s="2">
        <f>ROUND((I325-SUM('Entitlement to Date'!E38:J38))/6,2)</f>
        <v>88241.23</v>
      </c>
      <c r="K325" s="3"/>
      <c r="L325" s="3">
        <f>ROUND(((I325*-0.03)-SUM('CSI Admin to Date'!E38:J38))/6,2)</f>
        <v>-2647.24</v>
      </c>
      <c r="M325" s="3"/>
      <c r="N325" s="5">
        <f t="shared" si="41"/>
        <v>85593.989999999991</v>
      </c>
    </row>
    <row r="326" spans="1:15" ht="12.75" x14ac:dyDescent="0.2">
      <c r="A326" s="35" t="s">
        <v>152</v>
      </c>
      <c r="B326" s="13" t="s">
        <v>86</v>
      </c>
      <c r="C326" s="5" t="s">
        <v>176</v>
      </c>
      <c r="D326" s="21" t="s">
        <v>67</v>
      </c>
      <c r="E326" s="5" t="s">
        <v>204</v>
      </c>
      <c r="G326" s="36">
        <f>VLOOKUP(D326,'CSI Counts'!$B$2:$N$56,13,FALSE)</f>
        <v>473</v>
      </c>
      <c r="H326" s="10">
        <v>7812.9818166843916</v>
      </c>
      <c r="I326" s="10">
        <f t="shared" si="42"/>
        <v>3695540.4</v>
      </c>
      <c r="J326" s="2">
        <f>ROUND((I326-SUM('Entitlement to Date'!E39:J39))/6,2)</f>
        <v>288359.02</v>
      </c>
      <c r="K326" s="3"/>
      <c r="L326" s="3">
        <f>ROUND(((I326*-0.03)-SUM('CSI Admin to Date'!E39:J39))/6,2)</f>
        <v>-8650.77</v>
      </c>
      <c r="M326" s="3">
        <v>-30526.69</v>
      </c>
      <c r="N326" s="5">
        <f t="shared" si="41"/>
        <v>249181.56</v>
      </c>
    </row>
    <row r="327" spans="1:15" x14ac:dyDescent="0.25">
      <c r="A327" s="35" t="s">
        <v>152</v>
      </c>
      <c r="B327" s="13" t="s">
        <v>86</v>
      </c>
      <c r="C327" s="6" t="s">
        <v>176</v>
      </c>
      <c r="D327" t="s">
        <v>47</v>
      </c>
      <c r="E327" s="6" t="s">
        <v>205</v>
      </c>
      <c r="G327" s="36">
        <f>VLOOKUP(D327,'CSI Counts'!$B$2:$N$56,13,FALSE)</f>
        <v>284</v>
      </c>
      <c r="H327" s="10">
        <v>8011.7018166843927</v>
      </c>
      <c r="I327" s="10">
        <f t="shared" si="42"/>
        <v>2275323.3199999998</v>
      </c>
      <c r="J327" s="2">
        <f>ROUND((I327-SUM('Entitlement to Date'!E40:J40))/6,2)</f>
        <v>167029.01</v>
      </c>
      <c r="K327" s="3"/>
      <c r="L327" s="3">
        <f>ROUND(((I327*-0.03)-SUM('CSI Admin to Date'!E40:J40))/6,2)</f>
        <v>-5010.87</v>
      </c>
      <c r="M327" s="3">
        <v>-42638.53</v>
      </c>
      <c r="N327" s="5">
        <f t="shared" si="41"/>
        <v>119379.61000000002</v>
      </c>
    </row>
    <row r="328" spans="1:15" x14ac:dyDescent="0.25">
      <c r="A328" s="35" t="s">
        <v>152</v>
      </c>
      <c r="B328" s="13" t="s">
        <v>86</v>
      </c>
      <c r="C328" s="8" t="s">
        <v>176</v>
      </c>
      <c r="D328" t="s">
        <v>48</v>
      </c>
      <c r="E328" s="8" t="s">
        <v>206</v>
      </c>
      <c r="G328" s="36">
        <f>VLOOKUP(D328,'CSI Counts'!$B$2:$N$56,13,FALSE)</f>
        <v>249</v>
      </c>
      <c r="H328" s="10">
        <v>8086.5118166843922</v>
      </c>
      <c r="I328" s="10">
        <f t="shared" si="42"/>
        <v>2013541.44</v>
      </c>
      <c r="J328" s="2">
        <f>ROUND((I328-SUM('Entitlement to Date'!E41:J41))/6,2)</f>
        <v>156537.97</v>
      </c>
      <c r="K328" s="3"/>
      <c r="L328" s="3">
        <f>ROUND(((I328*-0.03)-SUM('CSI Admin to Date'!E41:J41))/6,2)</f>
        <v>-4696.1400000000003</v>
      </c>
      <c r="M328" s="3"/>
      <c r="N328" s="5">
        <f t="shared" si="41"/>
        <v>151841.82999999999</v>
      </c>
    </row>
    <row r="329" spans="1:15" x14ac:dyDescent="0.25">
      <c r="G329" s="9"/>
      <c r="H329" s="6"/>
      <c r="I329" s="6"/>
      <c r="J329" s="6"/>
      <c r="K329" s="6"/>
      <c r="L329" s="6"/>
      <c r="M329" s="6"/>
      <c r="N329" s="6"/>
    </row>
    <row r="330" spans="1:15" x14ac:dyDescent="0.25">
      <c r="G330" s="16">
        <f>SUM(G289:G329)</f>
        <v>19528.399999999998</v>
      </c>
      <c r="H330" s="8"/>
      <c r="I330" s="16">
        <f t="shared" ref="I330:N330" si="43">SUM(I289:I329)</f>
        <v>152195384.32999995</v>
      </c>
      <c r="J330" s="16">
        <f t="shared" si="43"/>
        <v>12682160.15</v>
      </c>
      <c r="K330" s="8">
        <f t="shared" si="43"/>
        <v>0</v>
      </c>
      <c r="L330" s="8">
        <f t="shared" si="43"/>
        <v>-380464.80999999994</v>
      </c>
      <c r="M330" s="8">
        <f t="shared" si="43"/>
        <v>-1421423.12</v>
      </c>
      <c r="N330" s="16">
        <f t="shared" si="43"/>
        <v>10880272.219999999</v>
      </c>
    </row>
    <row r="333" spans="1:15" ht="12.75" x14ac:dyDescent="0.2">
      <c r="A333" s="17" t="s">
        <v>170</v>
      </c>
      <c r="B333" s="17"/>
      <c r="C333" s="11"/>
      <c r="D333" s="11"/>
      <c r="E333" s="17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5" ht="63.75" x14ac:dyDescent="0.2">
      <c r="A334" s="20" t="s">
        <v>214</v>
      </c>
      <c r="B334" s="20"/>
      <c r="C334" s="11"/>
      <c r="D334" s="11" t="s">
        <v>38</v>
      </c>
      <c r="E334" s="17" t="s">
        <v>39</v>
      </c>
      <c r="F334" s="12"/>
      <c r="G334" s="23" t="s">
        <v>0</v>
      </c>
      <c r="H334" s="45" t="s">
        <v>215</v>
      </c>
      <c r="I334" s="23" t="s">
        <v>1</v>
      </c>
      <c r="J334" s="23" t="s">
        <v>2</v>
      </c>
      <c r="K334" s="23" t="s">
        <v>3</v>
      </c>
      <c r="L334" s="23" t="s">
        <v>4</v>
      </c>
      <c r="M334" s="23" t="s">
        <v>5</v>
      </c>
      <c r="N334" s="23" t="s">
        <v>28</v>
      </c>
      <c r="O334" s="23" t="s">
        <v>6</v>
      </c>
    </row>
    <row r="335" spans="1:15" x14ac:dyDescent="0.25">
      <c r="C335" s="6"/>
      <c r="E335" s="6"/>
      <c r="F335" s="6"/>
      <c r="G335" s="14"/>
      <c r="H335" s="46"/>
      <c r="I335" s="10"/>
      <c r="J335" s="10"/>
      <c r="K335" s="10"/>
      <c r="L335" s="10"/>
      <c r="M335" s="10"/>
      <c r="N335" s="10"/>
      <c r="O335" s="5"/>
    </row>
    <row r="336" spans="1:15" ht="12.75" x14ac:dyDescent="0.2">
      <c r="A336" s="35" t="s">
        <v>142</v>
      </c>
      <c r="B336" s="13" t="s">
        <v>86</v>
      </c>
      <c r="C336" s="1" t="s">
        <v>172</v>
      </c>
      <c r="D336" s="21" t="s">
        <v>44</v>
      </c>
      <c r="E336" s="1" t="s">
        <v>177</v>
      </c>
      <c r="G336" s="36">
        <f>VLOOKUP(D336,'CSI Counts'!$B$2:$N$56,13,FALSE)</f>
        <v>1860</v>
      </c>
      <c r="H336" s="47"/>
      <c r="I336" s="10">
        <v>7642.8224147551509</v>
      </c>
      <c r="J336" s="10">
        <f>ROUND(G336*I336,2)</f>
        <v>14215649.689999999</v>
      </c>
      <c r="K336" s="2">
        <v>1165012.6100000001</v>
      </c>
      <c r="L336" s="3"/>
      <c r="M336" s="3">
        <v>-34950.379999999997</v>
      </c>
      <c r="N336" s="3">
        <v>-120566.25</v>
      </c>
      <c r="O336" s="5">
        <f t="shared" ref="O336:O375" si="44">K336+L336+M336+N336</f>
        <v>1009495.9800000002</v>
      </c>
    </row>
    <row r="337" spans="1:15" ht="12.75" x14ac:dyDescent="0.2">
      <c r="A337" s="35" t="s">
        <v>142</v>
      </c>
      <c r="B337" s="13" t="s">
        <v>86</v>
      </c>
      <c r="C337" s="5" t="s">
        <v>172</v>
      </c>
      <c r="D337" s="21" t="s">
        <v>68</v>
      </c>
      <c r="E337" s="5" t="s">
        <v>178</v>
      </c>
      <c r="G337" s="36">
        <f>VLOOKUP(D337,'CSI Counts'!$B$2:$N$56,13,FALSE)</f>
        <v>828.5</v>
      </c>
      <c r="H337" s="47"/>
      <c r="I337" s="10">
        <v>7775.8224147551509</v>
      </c>
      <c r="J337" s="10">
        <f>ROUND(G337*I337,2)</f>
        <v>6442268.8700000001</v>
      </c>
      <c r="K337" s="2">
        <f>ROUND((J337-SUM('Entitlement to Date'!E3:K3))/5,2)</f>
        <v>523442.92</v>
      </c>
      <c r="L337" s="3"/>
      <c r="M337" s="3">
        <f>ROUND(((J337*-0.03)-SUM('CSI Admin to Date'!E3:K3))/5,2)</f>
        <v>-15703.29</v>
      </c>
      <c r="N337" s="3">
        <v>-104.17</v>
      </c>
      <c r="O337" s="5">
        <f t="shared" si="44"/>
        <v>507635.46</v>
      </c>
    </row>
    <row r="338" spans="1:15" ht="12.75" x14ac:dyDescent="0.2">
      <c r="A338" s="35" t="s">
        <v>142</v>
      </c>
      <c r="B338" s="13" t="s">
        <v>86</v>
      </c>
      <c r="C338" s="1" t="s">
        <v>172</v>
      </c>
      <c r="D338" s="22" t="s">
        <v>146</v>
      </c>
      <c r="E338" s="1" t="s">
        <v>179</v>
      </c>
      <c r="G338" s="36">
        <f>VLOOKUP(D338,'CSI Counts'!$B$2:$N$56,13,FALSE)</f>
        <v>2107</v>
      </c>
      <c r="H338" s="47">
        <v>5</v>
      </c>
      <c r="I338" s="10">
        <v>8018.992414755151</v>
      </c>
      <c r="J338" s="10">
        <f>ROUND((G338*I338)+(H338*C377),2)</f>
        <v>16932625.620000001</v>
      </c>
      <c r="K338" s="2">
        <f>ROUND((J338-SUM('Entitlement to Date'!E4:K4))/5,2)</f>
        <v>1480955</v>
      </c>
      <c r="L338" s="3"/>
      <c r="M338" s="3">
        <f>ROUND(((J338*-0.03)-SUM('CSI Admin to Date'!E4:K4))/5,2)</f>
        <v>-44428.65</v>
      </c>
      <c r="N338" s="3">
        <v>-187832.92</v>
      </c>
      <c r="O338" s="5">
        <f t="shared" si="44"/>
        <v>1248693.4300000002</v>
      </c>
    </row>
    <row r="339" spans="1:15" ht="12.75" x14ac:dyDescent="0.2">
      <c r="A339" s="35" t="s">
        <v>153</v>
      </c>
      <c r="B339" s="13" t="s">
        <v>89</v>
      </c>
      <c r="C339" s="5" t="s">
        <v>29</v>
      </c>
      <c r="D339" s="21" t="s">
        <v>80</v>
      </c>
      <c r="E339" s="5" t="s">
        <v>180</v>
      </c>
      <c r="G339" s="36">
        <f>VLOOKUP(D339,'CSI Counts'!$B$2:$N$56,13,FALSE)</f>
        <v>417.5</v>
      </c>
      <c r="H339" s="47"/>
      <c r="I339" s="10">
        <v>8100.0333891027894</v>
      </c>
      <c r="J339" s="10">
        <f t="shared" ref="J339:J375" si="45">ROUND(G339*I339,2)</f>
        <v>3381763.94</v>
      </c>
      <c r="K339" s="2">
        <f>ROUND((J339-SUM('Entitlement to Date'!E5:K5))/5,2)</f>
        <v>288457.28000000003</v>
      </c>
      <c r="L339" s="3"/>
      <c r="M339" s="3">
        <f>ROUND(((J339*-0.03)-SUM('CSI Admin to Date'!E5:K5))/5,2)</f>
        <v>-8653.7199999999993</v>
      </c>
      <c r="N339" s="3">
        <v>-69104.3</v>
      </c>
      <c r="O339" s="5">
        <f t="shared" si="44"/>
        <v>210699.26000000007</v>
      </c>
    </row>
    <row r="340" spans="1:15" ht="12.75" x14ac:dyDescent="0.2">
      <c r="A340" s="35" t="s">
        <v>153</v>
      </c>
      <c r="B340" s="13" t="s">
        <v>89</v>
      </c>
      <c r="C340" s="5" t="s">
        <v>29</v>
      </c>
      <c r="D340" s="21" t="s">
        <v>49</v>
      </c>
      <c r="E340" s="5" t="s">
        <v>181</v>
      </c>
      <c r="G340" s="36">
        <f>VLOOKUP(D340,'CSI Counts'!$B$2:$N$56,13,FALSE)</f>
        <v>289</v>
      </c>
      <c r="H340" s="47"/>
      <c r="I340" s="10">
        <v>8170.2033891027895</v>
      </c>
      <c r="J340" s="10">
        <f t="shared" si="45"/>
        <v>2361188.7799999998</v>
      </c>
      <c r="K340" s="2">
        <f>ROUND((J340-SUM('Entitlement to Date'!E6:K6))/5,2)</f>
        <v>170211.12</v>
      </c>
      <c r="L340" s="3"/>
      <c r="M340" s="3">
        <f>ROUND(((J340*-0.03)-SUM('CSI Admin to Date'!E6:K6))/5,2)</f>
        <v>-5106.33</v>
      </c>
      <c r="N340" s="3"/>
      <c r="O340" s="5">
        <f t="shared" si="44"/>
        <v>165104.79</v>
      </c>
    </row>
    <row r="341" spans="1:15" ht="12.75" x14ac:dyDescent="0.2">
      <c r="A341" s="34" t="s">
        <v>153</v>
      </c>
      <c r="B341" s="13" t="s">
        <v>89</v>
      </c>
      <c r="C341" s="5" t="s">
        <v>29</v>
      </c>
      <c r="D341" s="21" t="s">
        <v>50</v>
      </c>
      <c r="E341" s="5" t="s">
        <v>182</v>
      </c>
      <c r="F341" s="15"/>
      <c r="G341" s="36">
        <f>VLOOKUP(D341,'CSI Counts'!$B$2:$N$56,13,FALSE)</f>
        <v>170</v>
      </c>
      <c r="H341" s="47"/>
      <c r="I341" s="10">
        <v>8768.3833891027898</v>
      </c>
      <c r="J341" s="10">
        <f t="shared" si="45"/>
        <v>1490625.18</v>
      </c>
      <c r="K341" s="2">
        <f>ROUND((J341-SUM('Entitlement to Date'!E7:K7))/5,2)</f>
        <v>73240.83</v>
      </c>
      <c r="L341" s="3"/>
      <c r="M341" s="3">
        <f>ROUND(((J341*-0.03)-SUM('CSI Admin to Date'!E7:K7))/5,2)</f>
        <v>-2197.23</v>
      </c>
      <c r="N341" s="3"/>
      <c r="O341" s="5">
        <f t="shared" si="44"/>
        <v>71043.600000000006</v>
      </c>
    </row>
    <row r="342" spans="1:15" ht="12.75" x14ac:dyDescent="0.2">
      <c r="A342" s="34" t="s">
        <v>153</v>
      </c>
      <c r="B342" s="13" t="s">
        <v>89</v>
      </c>
      <c r="C342" s="5" t="s">
        <v>29</v>
      </c>
      <c r="D342" s="21" t="s">
        <v>97</v>
      </c>
      <c r="E342" s="5" t="s">
        <v>183</v>
      </c>
      <c r="F342" s="15"/>
      <c r="G342" s="36">
        <f>VLOOKUP(D342,'CSI Counts'!$B$2:$N$56,13,FALSE)</f>
        <v>94</v>
      </c>
      <c r="H342" s="47"/>
      <c r="I342" s="10">
        <v>8921.9133891027905</v>
      </c>
      <c r="J342" s="10">
        <f t="shared" si="45"/>
        <v>838659.86</v>
      </c>
      <c r="K342" s="2">
        <f>ROUND((J342-SUM('Entitlement to Date'!E8:K8))/5,2)</f>
        <v>67487.05</v>
      </c>
      <c r="L342" s="3"/>
      <c r="M342" s="3">
        <f>ROUND(((J342*-0.03)-SUM('CSI Admin to Date'!E8:K8))/5,2)</f>
        <v>-2024.62</v>
      </c>
      <c r="N342" s="3"/>
      <c r="O342" s="5">
        <f t="shared" si="44"/>
        <v>65462.43</v>
      </c>
    </row>
    <row r="343" spans="1:15" ht="12.75" x14ac:dyDescent="0.2">
      <c r="A343" s="34" t="s">
        <v>151</v>
      </c>
      <c r="B343" s="13" t="s">
        <v>86</v>
      </c>
      <c r="C343" s="1" t="s">
        <v>85</v>
      </c>
      <c r="D343" s="22" t="s">
        <v>46</v>
      </c>
      <c r="E343" s="4" t="s">
        <v>184</v>
      </c>
      <c r="F343" s="15"/>
      <c r="G343" s="36">
        <f>VLOOKUP(D343,'CSI Counts'!$B$2:$N$56,13,FALSE)</f>
        <v>688.5</v>
      </c>
      <c r="H343" s="47"/>
      <c r="I343" s="10">
        <v>7874.5652590868704</v>
      </c>
      <c r="J343" s="10">
        <f t="shared" si="45"/>
        <v>5421638.1799999997</v>
      </c>
      <c r="K343" s="2">
        <f>ROUND((J343-SUM('Entitlement to Date'!E9:K9))/5,2)</f>
        <v>456697.29</v>
      </c>
      <c r="L343" s="3"/>
      <c r="M343" s="3">
        <f>ROUND(((J343*-0.03)-SUM('CSI Admin to Date'!E9:K9))/5,2)</f>
        <v>-13700.92</v>
      </c>
      <c r="N343" s="3">
        <v>-68529.38</v>
      </c>
      <c r="O343" s="5">
        <f t="shared" si="44"/>
        <v>374466.99</v>
      </c>
    </row>
    <row r="344" spans="1:15" ht="12.75" x14ac:dyDescent="0.2">
      <c r="A344" s="34" t="s">
        <v>147</v>
      </c>
      <c r="B344" s="13" t="s">
        <v>86</v>
      </c>
      <c r="C344" s="5" t="s">
        <v>8</v>
      </c>
      <c r="D344" s="21" t="s">
        <v>45</v>
      </c>
      <c r="E344" s="18" t="s">
        <v>185</v>
      </c>
      <c r="F344" s="15"/>
      <c r="G344" s="36">
        <f>VLOOKUP(D344,'CSI Counts'!$B$2:$N$56,13,FALSE)</f>
        <v>671</v>
      </c>
      <c r="H344" s="47"/>
      <c r="I344" s="10">
        <v>8058.2552899132461</v>
      </c>
      <c r="J344" s="10">
        <f t="shared" si="45"/>
        <v>5407089.2999999998</v>
      </c>
      <c r="K344" s="2">
        <f>ROUND((J344-SUM('Entitlement to Date'!E10:K10))/5,2)</f>
        <v>389991.61</v>
      </c>
      <c r="L344" s="3"/>
      <c r="M344" s="3">
        <f>ROUND(((J344*-0.03)-SUM('CSI Admin to Date'!E10:K10))/5,2)</f>
        <v>-11699.75</v>
      </c>
      <c r="N344" s="3">
        <v>-159448.34</v>
      </c>
      <c r="O344" s="5">
        <f t="shared" si="44"/>
        <v>218843.51999999999</v>
      </c>
    </row>
    <row r="345" spans="1:15" ht="12.75" x14ac:dyDescent="0.2">
      <c r="A345" s="34" t="s">
        <v>161</v>
      </c>
      <c r="B345" s="15" t="s">
        <v>90</v>
      </c>
      <c r="C345" s="5" t="s">
        <v>15</v>
      </c>
      <c r="D345" s="21" t="s">
        <v>55</v>
      </c>
      <c r="E345" s="5" t="s">
        <v>186</v>
      </c>
      <c r="F345" s="15"/>
      <c r="G345" s="36">
        <f>VLOOKUP(D345,'CSI Counts'!$B$2:$N$56,13,FALSE)</f>
        <v>540</v>
      </c>
      <c r="H345" s="47"/>
      <c r="I345" s="10">
        <v>7587.33</v>
      </c>
      <c r="J345" s="10">
        <f t="shared" si="45"/>
        <v>4097158.2</v>
      </c>
      <c r="K345" s="2">
        <f>ROUND((J345-SUM('Entitlement to Date'!E11:K11))/5,2)</f>
        <v>324137.27</v>
      </c>
      <c r="L345" s="3"/>
      <c r="M345" s="3">
        <f>ROUND(((J345*-0.03)-SUM('CSI Admin to Date'!E11:K11))/5,2)</f>
        <v>-9724.1200000000008</v>
      </c>
      <c r="N345" s="3">
        <v>-146415.41999999998</v>
      </c>
      <c r="O345" s="5">
        <f t="shared" si="44"/>
        <v>167997.73000000004</v>
      </c>
    </row>
    <row r="346" spans="1:15" ht="12.75" x14ac:dyDescent="0.2">
      <c r="A346" s="34" t="s">
        <v>161</v>
      </c>
      <c r="B346" s="15" t="s">
        <v>90</v>
      </c>
      <c r="C346" s="5" t="s">
        <v>15</v>
      </c>
      <c r="D346" s="21" t="s">
        <v>56</v>
      </c>
      <c r="E346" s="5" t="s">
        <v>187</v>
      </c>
      <c r="F346" s="15"/>
      <c r="G346" s="36">
        <f>VLOOKUP(D346,'CSI Counts'!$B$2:$N$56,13,FALSE)</f>
        <v>248.5</v>
      </c>
      <c r="H346" s="47"/>
      <c r="I346" s="10">
        <v>7664.162586250216</v>
      </c>
      <c r="J346" s="10">
        <f t="shared" si="45"/>
        <v>1904544.4</v>
      </c>
      <c r="K346" s="2">
        <f>ROUND((J346-SUM('Entitlement to Date'!E12:K12))/5,2)</f>
        <v>158586.49</v>
      </c>
      <c r="L346" s="3"/>
      <c r="M346" s="3">
        <f>ROUND(((J346*-0.03)-SUM('CSI Admin to Date'!E12:K12))/5,2)</f>
        <v>-4757.59</v>
      </c>
      <c r="N346" s="3"/>
      <c r="O346" s="5">
        <f t="shared" si="44"/>
        <v>153828.9</v>
      </c>
    </row>
    <row r="347" spans="1:15" ht="12.75" x14ac:dyDescent="0.2">
      <c r="A347" s="34" t="s">
        <v>161</v>
      </c>
      <c r="B347" s="15" t="s">
        <v>90</v>
      </c>
      <c r="C347" s="1" t="s">
        <v>15</v>
      </c>
      <c r="D347" s="22" t="s">
        <v>79</v>
      </c>
      <c r="E347" s="1" t="s">
        <v>77</v>
      </c>
      <c r="F347" s="15"/>
      <c r="G347" s="36">
        <f>VLOOKUP(D347,'CSI Counts'!$B$2:$N$56,13,FALSE)</f>
        <v>630.5</v>
      </c>
      <c r="H347" s="47"/>
      <c r="I347" s="10">
        <v>7700.3525862502165</v>
      </c>
      <c r="J347" s="10">
        <f t="shared" si="45"/>
        <v>4855072.3099999996</v>
      </c>
      <c r="K347" s="2">
        <f>ROUND((J347-SUM('Entitlement to Date'!E13:K13))/5,2)</f>
        <v>413391.63</v>
      </c>
      <c r="L347" s="3"/>
      <c r="M347" s="3">
        <f>ROUND(((J347*-0.03)-SUM('CSI Admin to Date'!E13:K13))/5,2)</f>
        <v>-12401.75</v>
      </c>
      <c r="N347" s="3"/>
      <c r="O347" s="5">
        <f t="shared" si="44"/>
        <v>400989.88</v>
      </c>
    </row>
    <row r="348" spans="1:15" ht="12.75" x14ac:dyDescent="0.2">
      <c r="A348" s="34" t="s">
        <v>161</v>
      </c>
      <c r="B348" s="15" t="s">
        <v>90</v>
      </c>
      <c r="C348" s="1" t="s">
        <v>15</v>
      </c>
      <c r="D348" s="22" t="s">
        <v>54</v>
      </c>
      <c r="E348" s="1" t="s">
        <v>17</v>
      </c>
      <c r="F348" s="15"/>
      <c r="G348" s="36">
        <f>VLOOKUP(D348,'CSI Counts'!$B$2:$N$56,13,FALSE)</f>
        <v>382</v>
      </c>
      <c r="H348" s="47"/>
      <c r="I348" s="10">
        <v>7617.3525862502165</v>
      </c>
      <c r="J348" s="10">
        <f t="shared" si="45"/>
        <v>2909828.69</v>
      </c>
      <c r="K348" s="2">
        <f>ROUND((J348-SUM('Entitlement to Date'!E14:K14))/5,2)</f>
        <v>223871.86</v>
      </c>
      <c r="L348" s="3"/>
      <c r="M348" s="3">
        <f>ROUND(((J348*-0.03)-SUM('CSI Admin to Date'!E14:K14))/5,2)</f>
        <v>-6716.15</v>
      </c>
      <c r="N348" s="3">
        <v>-42500</v>
      </c>
      <c r="O348" s="5">
        <f t="shared" si="44"/>
        <v>174655.71</v>
      </c>
    </row>
    <row r="349" spans="1:15" ht="12.75" x14ac:dyDescent="0.2">
      <c r="A349" s="34" t="s">
        <v>161</v>
      </c>
      <c r="B349" s="15" t="s">
        <v>90</v>
      </c>
      <c r="C349" s="1" t="s">
        <v>15</v>
      </c>
      <c r="D349" s="22" t="s">
        <v>114</v>
      </c>
      <c r="E349" s="1" t="s">
        <v>124</v>
      </c>
      <c r="F349" s="15"/>
      <c r="G349" s="36">
        <f>VLOOKUP(D349,'CSI Counts'!$B$2:$N$56,13,FALSE)</f>
        <v>224</v>
      </c>
      <c r="H349" s="47"/>
      <c r="I349" s="10">
        <v>7938.1325862502172</v>
      </c>
      <c r="J349" s="10">
        <f t="shared" si="45"/>
        <v>1778141.7</v>
      </c>
      <c r="K349" s="2">
        <f>ROUND((J349-SUM('Entitlement to Date'!E15:K15))/5,2)</f>
        <v>162847.12</v>
      </c>
      <c r="L349" s="3"/>
      <c r="M349" s="3">
        <f>ROUND(((J349*-0.03)-SUM('CSI Admin to Date'!E15:K15))/5,2)</f>
        <v>-4885.42</v>
      </c>
      <c r="N349" s="3"/>
      <c r="O349" s="5">
        <f t="shared" si="44"/>
        <v>157961.69999999998</v>
      </c>
    </row>
    <row r="350" spans="1:15" ht="12.75" x14ac:dyDescent="0.2">
      <c r="A350" s="34" t="s">
        <v>161</v>
      </c>
      <c r="B350" s="15" t="s">
        <v>90</v>
      </c>
      <c r="C350" s="1" t="s">
        <v>15</v>
      </c>
      <c r="D350" s="22" t="s">
        <v>118</v>
      </c>
      <c r="E350" s="4" t="s">
        <v>119</v>
      </c>
      <c r="G350" s="36">
        <f>VLOOKUP(D350,'CSI Counts'!$B$2:$N$56,13,FALSE)</f>
        <v>338</v>
      </c>
      <c r="H350" s="47"/>
      <c r="I350" s="10">
        <v>8037.4825862502157</v>
      </c>
      <c r="J350" s="10">
        <f t="shared" si="45"/>
        <v>2716669.11</v>
      </c>
      <c r="K350" s="2">
        <f>ROUND((J350-SUM('Entitlement to Date'!E16:K16))/5,2)</f>
        <v>263182.25</v>
      </c>
      <c r="L350" s="3"/>
      <c r="M350" s="3">
        <f>ROUND(((J350*-0.03)-SUM('CSI Admin to Date'!E16:K16))/5,2)</f>
        <v>-7895.46</v>
      </c>
      <c r="N350" s="3"/>
      <c r="O350" s="5">
        <f t="shared" si="44"/>
        <v>255286.79</v>
      </c>
    </row>
    <row r="351" spans="1:15" ht="12.75" x14ac:dyDescent="0.2">
      <c r="A351" s="34" t="s">
        <v>161</v>
      </c>
      <c r="B351" s="15" t="s">
        <v>90</v>
      </c>
      <c r="C351" s="1" t="s">
        <v>15</v>
      </c>
      <c r="D351" s="22" t="s">
        <v>58</v>
      </c>
      <c r="E351" s="1" t="s">
        <v>188</v>
      </c>
      <c r="G351" s="36">
        <f>VLOOKUP(D351,'CSI Counts'!$B$2:$N$56,13,FALSE)</f>
        <v>304</v>
      </c>
      <c r="H351" s="47"/>
      <c r="I351" s="10">
        <v>7769.662586250216</v>
      </c>
      <c r="J351" s="10">
        <f t="shared" si="45"/>
        <v>2361977.4300000002</v>
      </c>
      <c r="K351" s="2">
        <f>ROUND((J351-SUM('Entitlement to Date'!E17:K17))/5,2)</f>
        <v>183596.24</v>
      </c>
      <c r="L351" s="3"/>
      <c r="M351" s="3">
        <f>ROUND(((J351*-0.03)-SUM('CSI Admin to Date'!E17:K17))/5,2)</f>
        <v>-5507.88</v>
      </c>
      <c r="N351" s="3">
        <v>-17523.8</v>
      </c>
      <c r="O351" s="5">
        <f t="shared" si="44"/>
        <v>160564.56</v>
      </c>
    </row>
    <row r="352" spans="1:15" ht="12.75" x14ac:dyDescent="0.2">
      <c r="A352" s="34" t="s">
        <v>161</v>
      </c>
      <c r="B352" s="15" t="s">
        <v>90</v>
      </c>
      <c r="C352" s="1" t="s">
        <v>15</v>
      </c>
      <c r="D352" s="22" t="s">
        <v>71</v>
      </c>
      <c r="E352" s="4" t="s">
        <v>70</v>
      </c>
      <c r="G352" s="36">
        <f>VLOOKUP(D352,'CSI Counts'!$B$2:$N$56,13,FALSE)</f>
        <v>58</v>
      </c>
      <c r="H352" s="47"/>
      <c r="I352" s="10">
        <v>7587.33</v>
      </c>
      <c r="J352" s="10">
        <f t="shared" si="45"/>
        <v>440065.14</v>
      </c>
      <c r="K352" s="2">
        <f>ROUND((J352-SUM('Entitlement to Date'!E18:K18))/5,2)</f>
        <v>29626.639999999999</v>
      </c>
      <c r="L352" s="3"/>
      <c r="M352" s="3">
        <f>ROUND(((J352*-0.03)-SUM('CSI Admin to Date'!E18:K18))/5,2)</f>
        <v>-888.8</v>
      </c>
      <c r="N352" s="3"/>
      <c r="O352" s="5">
        <f t="shared" si="44"/>
        <v>28737.84</v>
      </c>
    </row>
    <row r="353" spans="1:15" ht="12.75" x14ac:dyDescent="0.2">
      <c r="A353" s="34" t="s">
        <v>161</v>
      </c>
      <c r="B353" s="15" t="s">
        <v>90</v>
      </c>
      <c r="C353" s="7" t="s">
        <v>15</v>
      </c>
      <c r="D353" s="21" t="s">
        <v>57</v>
      </c>
      <c r="E353" s="7" t="s">
        <v>32</v>
      </c>
      <c r="G353" s="36">
        <f>VLOOKUP(D353,'CSI Counts'!$B$2:$N$56,13,FALSE)</f>
        <v>323.8</v>
      </c>
      <c r="H353" s="47"/>
      <c r="I353" s="10">
        <v>7602.3125862502156</v>
      </c>
      <c r="J353" s="10">
        <f t="shared" si="45"/>
        <v>2461628.8199999998</v>
      </c>
      <c r="K353" s="2">
        <f>ROUND((J353-SUM('Entitlement to Date'!E19:K19))/5,2)</f>
        <v>196109.52</v>
      </c>
      <c r="L353" s="3"/>
      <c r="M353" s="3">
        <f>ROUND(((J353*-0.03)-SUM('CSI Admin to Date'!E19:K19))/5,2)</f>
        <v>-5883.28</v>
      </c>
      <c r="N353" s="3"/>
      <c r="O353" s="5">
        <f t="shared" si="44"/>
        <v>190226.24</v>
      </c>
    </row>
    <row r="354" spans="1:15" ht="12.75" x14ac:dyDescent="0.2">
      <c r="A354" s="34" t="s">
        <v>161</v>
      </c>
      <c r="B354" s="15" t="s">
        <v>90</v>
      </c>
      <c r="C354" s="1" t="s">
        <v>15</v>
      </c>
      <c r="D354" s="21" t="s">
        <v>53</v>
      </c>
      <c r="E354" s="1" t="s">
        <v>189</v>
      </c>
      <c r="G354" s="36">
        <f>VLOOKUP(D354,'CSI Counts'!$B$2:$N$56,13,FALSE)</f>
        <v>906.1</v>
      </c>
      <c r="H354" s="47"/>
      <c r="I354" s="10">
        <v>7587.33</v>
      </c>
      <c r="J354" s="10">
        <f t="shared" si="45"/>
        <v>6874879.71</v>
      </c>
      <c r="K354" s="2">
        <f>ROUND((J354-SUM('Entitlement to Date'!E20:K20))/5,2)</f>
        <v>551430.66</v>
      </c>
      <c r="L354" s="3"/>
      <c r="M354" s="3">
        <f>ROUND(((J354*-0.03)-SUM('CSI Admin to Date'!E20:K20))/5,2)</f>
        <v>-16542.919999999998</v>
      </c>
      <c r="N354" s="3">
        <v>-63601.67</v>
      </c>
      <c r="O354" s="5">
        <f t="shared" si="44"/>
        <v>471286.07</v>
      </c>
    </row>
    <row r="355" spans="1:15" ht="12.75" x14ac:dyDescent="0.2">
      <c r="A355" s="35" t="s">
        <v>157</v>
      </c>
      <c r="B355" s="13" t="s">
        <v>87</v>
      </c>
      <c r="C355" s="5" t="s">
        <v>87</v>
      </c>
      <c r="D355" s="21" t="s">
        <v>173</v>
      </c>
      <c r="E355" s="5" t="s">
        <v>190</v>
      </c>
      <c r="G355" s="36">
        <f>VLOOKUP(D355,'CSI Counts'!$B$2:$N$56,13,FALSE)</f>
        <v>591</v>
      </c>
      <c r="H355" s="47"/>
      <c r="I355" s="10">
        <v>7721.6850646042849</v>
      </c>
      <c r="J355" s="10">
        <f t="shared" si="45"/>
        <v>4563515.87</v>
      </c>
      <c r="K355" s="2">
        <f>ROUND((J355-SUM('Entitlement to Date'!E21:K21))/5,2)</f>
        <v>359170.31</v>
      </c>
      <c r="L355" s="3"/>
      <c r="M355" s="3">
        <f>ROUND(((J355*-0.03)-SUM('CSI Admin to Date'!E21:K21))/5,2)</f>
        <v>-10775.11</v>
      </c>
      <c r="N355" s="3"/>
      <c r="O355" s="5">
        <f t="shared" si="44"/>
        <v>348395.2</v>
      </c>
    </row>
    <row r="356" spans="1:15" ht="12.75" x14ac:dyDescent="0.2">
      <c r="A356" s="35" t="s">
        <v>157</v>
      </c>
      <c r="B356" s="13" t="s">
        <v>87</v>
      </c>
      <c r="C356" s="1" t="s">
        <v>87</v>
      </c>
      <c r="D356" s="22" t="s">
        <v>51</v>
      </c>
      <c r="E356" s="1" t="s">
        <v>191</v>
      </c>
      <c r="G356" s="36">
        <f>VLOOKUP(D356,'CSI Counts'!$B$2:$N$56,13,FALSE)</f>
        <v>829</v>
      </c>
      <c r="H356" s="47"/>
      <c r="I356" s="10">
        <v>7660.1089276442835</v>
      </c>
      <c r="J356" s="10">
        <f t="shared" si="45"/>
        <v>6350230.2999999998</v>
      </c>
      <c r="K356" s="2">
        <f>ROUND((J356-SUM('Entitlement to Date'!E22:K22))/5,2)</f>
        <v>519158.5</v>
      </c>
      <c r="L356" s="3"/>
      <c r="M356" s="3">
        <f>ROUND(((J356*-0.03)-SUM('CSI Admin to Date'!E22:K22))/5,2)</f>
        <v>-15574.75</v>
      </c>
      <c r="N356" s="3">
        <v>-73961.25</v>
      </c>
      <c r="O356" s="5">
        <f t="shared" si="44"/>
        <v>429622.5</v>
      </c>
    </row>
    <row r="357" spans="1:15" ht="12.75" x14ac:dyDescent="0.2">
      <c r="A357" s="35" t="s">
        <v>165</v>
      </c>
      <c r="B357" s="13" t="s">
        <v>91</v>
      </c>
      <c r="C357" s="7" t="s">
        <v>21</v>
      </c>
      <c r="D357" s="22" t="s">
        <v>61</v>
      </c>
      <c r="E357" s="7" t="s">
        <v>192</v>
      </c>
      <c r="G357" s="36">
        <f>VLOOKUP(D357,'CSI Counts'!$B$2:$N$56,13,FALSE)</f>
        <v>195.5</v>
      </c>
      <c r="H357" s="47"/>
      <c r="I357" s="10">
        <v>7837.8366861761187</v>
      </c>
      <c r="J357" s="10">
        <f t="shared" si="45"/>
        <v>1532297.07</v>
      </c>
      <c r="K357" s="2">
        <f>ROUND((J357-SUM('Entitlement to Date'!E23:K23))/5,2)</f>
        <v>127332.68</v>
      </c>
      <c r="L357" s="3"/>
      <c r="M357" s="3">
        <f>ROUND(((J357*-0.03)-SUM('CSI Admin to Date'!E23:K23))/5,2)</f>
        <v>-3819.98</v>
      </c>
      <c r="N357" s="3"/>
      <c r="O357" s="5">
        <f t="shared" si="44"/>
        <v>123512.7</v>
      </c>
    </row>
    <row r="358" spans="1:15" ht="12.75" x14ac:dyDescent="0.2">
      <c r="A358" s="35" t="s">
        <v>165</v>
      </c>
      <c r="B358" s="13" t="s">
        <v>91</v>
      </c>
      <c r="C358" s="5" t="s">
        <v>21</v>
      </c>
      <c r="D358" s="21" t="s">
        <v>62</v>
      </c>
      <c r="E358" s="5" t="s">
        <v>23</v>
      </c>
      <c r="G358" s="36">
        <f>VLOOKUP(D358,'CSI Counts'!$B$2:$N$56,13,FALSE)</f>
        <v>246.5</v>
      </c>
      <c r="H358" s="47"/>
      <c r="I358" s="10">
        <v>7745.7166861761179</v>
      </c>
      <c r="J358" s="10">
        <f t="shared" si="45"/>
        <v>1909319.16</v>
      </c>
      <c r="K358" s="2">
        <f>ROUND((J358-SUM('Entitlement to Date'!E24:K24))/5,2)</f>
        <v>157108.99</v>
      </c>
      <c r="L358" s="3"/>
      <c r="M358" s="3">
        <f>ROUND(((J358*-0.03)-SUM('CSI Admin to Date'!E24:K24))/5,2)</f>
        <v>-4713.2700000000004</v>
      </c>
      <c r="N358" s="3"/>
      <c r="O358" s="5">
        <f t="shared" si="44"/>
        <v>152395.72</v>
      </c>
    </row>
    <row r="359" spans="1:15" ht="12.75" x14ac:dyDescent="0.2">
      <c r="A359" s="35" t="s">
        <v>158</v>
      </c>
      <c r="B359" s="13" t="s">
        <v>13</v>
      </c>
      <c r="C359" s="5" t="s">
        <v>13</v>
      </c>
      <c r="D359" s="21" t="s">
        <v>52</v>
      </c>
      <c r="E359" s="5" t="s">
        <v>193</v>
      </c>
      <c r="G359" s="36">
        <f>VLOOKUP(D359,'CSI Counts'!$B$2:$N$56,13,FALSE)</f>
        <v>309</v>
      </c>
      <c r="H359" s="47"/>
      <c r="I359" s="10">
        <v>8104.7364992128823</v>
      </c>
      <c r="J359" s="10">
        <f t="shared" si="45"/>
        <v>2504363.58</v>
      </c>
      <c r="K359" s="2">
        <f>ROUND((J359-SUM('Entitlement to Date'!E25:K25))/5,2)</f>
        <v>201468.52</v>
      </c>
      <c r="L359" s="3"/>
      <c r="M359" s="3">
        <f>ROUND(((J359*-0.03)-SUM('CSI Admin to Date'!E25:K25))/5,2)</f>
        <v>-6044.06</v>
      </c>
      <c r="N359" s="3"/>
      <c r="O359" s="5">
        <f t="shared" si="44"/>
        <v>195424.46</v>
      </c>
    </row>
    <row r="360" spans="1:15" ht="12.75" x14ac:dyDescent="0.2">
      <c r="A360" s="35" t="s">
        <v>164</v>
      </c>
      <c r="B360" s="13" t="s">
        <v>84</v>
      </c>
      <c r="C360" s="1" t="s">
        <v>84</v>
      </c>
      <c r="D360" s="22" t="s">
        <v>96</v>
      </c>
      <c r="E360" s="1" t="s">
        <v>83</v>
      </c>
      <c r="G360" s="36">
        <f>VLOOKUP(D360,'CSI Counts'!$B$2:$N$56,13,FALSE)</f>
        <v>695.5</v>
      </c>
      <c r="H360" s="47"/>
      <c r="I360" s="10">
        <v>7808.9980095504015</v>
      </c>
      <c r="J360" s="10">
        <f t="shared" si="45"/>
        <v>5431158.1200000001</v>
      </c>
      <c r="K360" s="2">
        <f>ROUND((J360-SUM('Entitlement to Date'!E26:K26))/5,2)</f>
        <v>451988.62</v>
      </c>
      <c r="L360" s="3"/>
      <c r="M360" s="3">
        <f>ROUND(((J360*-0.03)-SUM('CSI Admin to Date'!E26:K26))/5,2)</f>
        <v>-13559.66</v>
      </c>
      <c r="N360" s="3">
        <v>-52246.990000000005</v>
      </c>
      <c r="O360" s="5">
        <f t="shared" si="44"/>
        <v>386181.97000000003</v>
      </c>
    </row>
    <row r="361" spans="1:15" ht="12.75" x14ac:dyDescent="0.2">
      <c r="A361" s="35" t="s">
        <v>168</v>
      </c>
      <c r="B361" s="13" t="s">
        <v>88</v>
      </c>
      <c r="C361" s="1" t="s">
        <v>25</v>
      </c>
      <c r="D361" s="22" t="s">
        <v>65</v>
      </c>
      <c r="E361" s="1" t="s">
        <v>26</v>
      </c>
      <c r="G361" s="36">
        <f>VLOOKUP(D361,'CSI Counts'!$B$2:$N$56,13,FALSE)</f>
        <v>886.3</v>
      </c>
      <c r="H361" s="47"/>
      <c r="I361" s="10">
        <v>7587.33</v>
      </c>
      <c r="J361" s="10">
        <f t="shared" si="45"/>
        <v>6724650.5800000001</v>
      </c>
      <c r="K361" s="2">
        <f>ROUND((J361-SUM('Entitlement to Date'!E27:K27))/5,2)</f>
        <v>566607.68000000005</v>
      </c>
      <c r="L361" s="3"/>
      <c r="M361" s="3">
        <f>ROUND(((J361*-0.03)-SUM('CSI Admin to Date'!E27:K27))/5,2)</f>
        <v>-16998.23</v>
      </c>
      <c r="N361" s="3">
        <v>-110618.34</v>
      </c>
      <c r="O361" s="5">
        <f t="shared" si="44"/>
        <v>438991.1100000001</v>
      </c>
    </row>
    <row r="362" spans="1:15" ht="12.75" x14ac:dyDescent="0.2">
      <c r="A362" s="35" t="s">
        <v>168</v>
      </c>
      <c r="B362" s="13" t="s">
        <v>88</v>
      </c>
      <c r="C362" s="1" t="s">
        <v>25</v>
      </c>
      <c r="D362" s="22" t="s">
        <v>81</v>
      </c>
      <c r="E362" s="1" t="s">
        <v>194</v>
      </c>
      <c r="G362" s="36">
        <f>VLOOKUP(D362,'CSI Counts'!$B$2:$N$56,13,FALSE)</f>
        <v>53</v>
      </c>
      <c r="H362" s="47"/>
      <c r="I362" s="10">
        <v>7587.33</v>
      </c>
      <c r="J362" s="10">
        <f t="shared" si="45"/>
        <v>402128.49</v>
      </c>
      <c r="K362" s="2">
        <f>ROUND((J362-SUM('Entitlement to Date'!E28:K28))/5,2)</f>
        <v>29625.919999999998</v>
      </c>
      <c r="L362" s="3"/>
      <c r="M362" s="3">
        <f>ROUND(((J362*-0.03)-SUM('CSI Admin to Date'!E28:K28))/5,2)</f>
        <v>-888.78</v>
      </c>
      <c r="N362" s="3"/>
      <c r="O362" s="5">
        <f t="shared" si="44"/>
        <v>28737.14</v>
      </c>
    </row>
    <row r="363" spans="1:15" ht="12.75" x14ac:dyDescent="0.2">
      <c r="A363" s="35" t="s">
        <v>166</v>
      </c>
      <c r="B363" s="13" t="s">
        <v>92</v>
      </c>
      <c r="C363" s="1" t="s">
        <v>24</v>
      </c>
      <c r="D363" s="22" t="s">
        <v>63</v>
      </c>
      <c r="E363" s="1" t="s">
        <v>195</v>
      </c>
      <c r="G363" s="36">
        <f>VLOOKUP(D363,'CSI Counts'!$B$2:$N$56,13,FALSE)</f>
        <v>185</v>
      </c>
      <c r="H363" s="47"/>
      <c r="I363" s="10">
        <v>7587.33</v>
      </c>
      <c r="J363" s="10">
        <f t="shared" si="45"/>
        <v>1403656.05</v>
      </c>
      <c r="K363" s="2">
        <f>ROUND((J363-SUM('Entitlement to Date'!E29:K29))/5,2)</f>
        <v>111475.33</v>
      </c>
      <c r="L363" s="3"/>
      <c r="M363" s="3">
        <f>ROUND(((J363*-0.03)-SUM('CSI Admin to Date'!E29:K29))/5,2)</f>
        <v>-3344.26</v>
      </c>
      <c r="N363" s="3"/>
      <c r="O363" s="5">
        <f t="shared" si="44"/>
        <v>108131.07</v>
      </c>
    </row>
    <row r="364" spans="1:15" ht="12.75" x14ac:dyDescent="0.2">
      <c r="A364" s="35" t="s">
        <v>166</v>
      </c>
      <c r="B364" s="13" t="s">
        <v>92</v>
      </c>
      <c r="C364" s="1" t="s">
        <v>24</v>
      </c>
      <c r="D364" s="22" t="s">
        <v>174</v>
      </c>
      <c r="E364" s="1" t="s">
        <v>196</v>
      </c>
      <c r="G364" s="36">
        <f>VLOOKUP(D364,'CSI Counts'!$B$2:$N$56,13,FALSE)</f>
        <v>243.5</v>
      </c>
      <c r="H364" s="47"/>
      <c r="I364" s="10">
        <v>7587.33</v>
      </c>
      <c r="J364" s="10">
        <f t="shared" si="45"/>
        <v>1847514.86</v>
      </c>
      <c r="K364" s="2">
        <f>ROUND((J364-SUM('Entitlement to Date'!E30:K30))/5,2)</f>
        <v>161310.1</v>
      </c>
      <c r="L364" s="3"/>
      <c r="M364" s="3">
        <f>ROUND(((J364*-0.03)-SUM('CSI Admin to Date'!E30:K30))/5,2)</f>
        <v>-4839.3</v>
      </c>
      <c r="N364" s="3"/>
      <c r="O364" s="5">
        <f t="shared" si="44"/>
        <v>156470.80000000002</v>
      </c>
    </row>
    <row r="365" spans="1:15" ht="12.75" x14ac:dyDescent="0.2">
      <c r="A365" s="35" t="s">
        <v>166</v>
      </c>
      <c r="B365" s="13" t="s">
        <v>92</v>
      </c>
      <c r="C365" s="1" t="s">
        <v>24</v>
      </c>
      <c r="D365" s="22" t="s">
        <v>115</v>
      </c>
      <c r="E365" s="1" t="s">
        <v>120</v>
      </c>
      <c r="G365" s="36">
        <f>VLOOKUP(D365,'CSI Counts'!$B$2:$N$56,13,FALSE)</f>
        <v>191</v>
      </c>
      <c r="H365" s="47"/>
      <c r="I365" s="10">
        <v>7587.33</v>
      </c>
      <c r="J365" s="10">
        <f t="shared" si="45"/>
        <v>1449180.03</v>
      </c>
      <c r="K365" s="2">
        <f>ROUND((J365-SUM('Entitlement to Date'!E31:K31))/5,2)</f>
        <v>131314.37</v>
      </c>
      <c r="L365" s="3"/>
      <c r="M365" s="3">
        <f>ROUND(((J365*-0.03)-SUM('CSI Admin to Date'!E31:K31))/5,2)</f>
        <v>-3939.43</v>
      </c>
      <c r="N365" s="3"/>
      <c r="O365" s="5">
        <f t="shared" si="44"/>
        <v>127374.94</v>
      </c>
    </row>
    <row r="366" spans="1:15" ht="12.75" x14ac:dyDescent="0.2">
      <c r="A366" s="35" t="s">
        <v>166</v>
      </c>
      <c r="B366" s="13" t="s">
        <v>92</v>
      </c>
      <c r="C366" s="1" t="s">
        <v>24</v>
      </c>
      <c r="D366" s="22" t="s">
        <v>117</v>
      </c>
      <c r="E366" s="1" t="s">
        <v>197</v>
      </c>
      <c r="G366" s="36">
        <f>VLOOKUP(D366,'CSI Counts'!$B$2:$N$56,13,FALSE)</f>
        <v>615.6</v>
      </c>
      <c r="H366" s="47"/>
      <c r="I366" s="10">
        <v>7587.33</v>
      </c>
      <c r="J366" s="10">
        <f t="shared" si="45"/>
        <v>4670760.3499999996</v>
      </c>
      <c r="K366" s="2">
        <f>ROUND((J366-SUM('Entitlement to Date'!E32:K32))/5,2)</f>
        <v>560293.09</v>
      </c>
      <c r="L366" s="3"/>
      <c r="M366" s="3">
        <f>ROUND(((J366*-0.03)-SUM('CSI Admin to Date'!E32:K32))/5,2)</f>
        <v>-16808.79</v>
      </c>
      <c r="N366" s="3"/>
      <c r="O366" s="5">
        <f t="shared" si="44"/>
        <v>543484.29999999993</v>
      </c>
    </row>
    <row r="367" spans="1:15" ht="12.75" x14ac:dyDescent="0.2">
      <c r="A367" s="35" t="s">
        <v>166</v>
      </c>
      <c r="B367" s="13" t="s">
        <v>92</v>
      </c>
      <c r="C367" s="1" t="s">
        <v>24</v>
      </c>
      <c r="D367" s="22" t="s">
        <v>64</v>
      </c>
      <c r="E367" s="1" t="s">
        <v>198</v>
      </c>
      <c r="G367" s="36">
        <f>VLOOKUP(D367,'CSI Counts'!$B$2:$N$56,13,FALSE)</f>
        <v>1273</v>
      </c>
      <c r="H367" s="47"/>
      <c r="I367" s="10">
        <v>7587.33</v>
      </c>
      <c r="J367" s="10">
        <f t="shared" si="45"/>
        <v>9658671.0899999999</v>
      </c>
      <c r="K367" s="2">
        <f>ROUND((J367-SUM('Entitlement to Date'!E33:K33))/5,2)</f>
        <v>784612.56</v>
      </c>
      <c r="L367" s="3"/>
      <c r="M367" s="3">
        <f>ROUND(((J367*-0.03)-SUM('CSI Admin to Date'!E33:K33))/5,2)</f>
        <v>-23538.38</v>
      </c>
      <c r="N367" s="3">
        <v>-160915</v>
      </c>
      <c r="O367" s="5">
        <f t="shared" si="44"/>
        <v>600159.18000000005</v>
      </c>
    </row>
    <row r="368" spans="1:15" ht="12.75" x14ac:dyDescent="0.2">
      <c r="A368" s="35" t="s">
        <v>166</v>
      </c>
      <c r="B368" s="13" t="s">
        <v>92</v>
      </c>
      <c r="C368" s="1" t="s">
        <v>24</v>
      </c>
      <c r="D368" s="22" t="s">
        <v>116</v>
      </c>
      <c r="E368" s="1" t="s">
        <v>199</v>
      </c>
      <c r="G368" s="36">
        <f>VLOOKUP(D368,'CSI Counts'!$B$2:$N$56,13,FALSE)</f>
        <v>220.5</v>
      </c>
      <c r="H368" s="47"/>
      <c r="I368" s="10">
        <v>7587.33</v>
      </c>
      <c r="J368" s="10">
        <f t="shared" si="45"/>
        <v>1673006.27</v>
      </c>
      <c r="K368" s="2">
        <f>ROUND((J368-SUM('Entitlement to Date'!E34:K34))/5,2)</f>
        <v>193390.22</v>
      </c>
      <c r="L368" s="3"/>
      <c r="M368" s="3">
        <f>ROUND(((J368*-0.03)-SUM('CSI Admin to Date'!E34:K34))/5,2)</f>
        <v>-5801.71</v>
      </c>
      <c r="N368" s="3"/>
      <c r="O368" s="5">
        <f t="shared" si="44"/>
        <v>187588.51</v>
      </c>
    </row>
    <row r="369" spans="1:15" ht="12.75" x14ac:dyDescent="0.2">
      <c r="A369" s="35" t="s">
        <v>162</v>
      </c>
      <c r="B369" s="13" t="s">
        <v>93</v>
      </c>
      <c r="C369" s="5" t="s">
        <v>19</v>
      </c>
      <c r="D369" s="21" t="s">
        <v>59</v>
      </c>
      <c r="E369" s="5" t="s">
        <v>200</v>
      </c>
      <c r="G369" s="36">
        <f>VLOOKUP(D369,'CSI Counts'!$B$2:$N$56,13,FALSE)</f>
        <v>313</v>
      </c>
      <c r="H369" s="47"/>
      <c r="I369" s="10">
        <v>8110.2906762699067</v>
      </c>
      <c r="J369" s="10">
        <f t="shared" si="45"/>
        <v>2538520.98</v>
      </c>
      <c r="K369" s="2">
        <f>ROUND((J369-SUM('Entitlement to Date'!E35:K35))/5,2)</f>
        <v>213670.65</v>
      </c>
      <c r="L369" s="3"/>
      <c r="M369" s="3">
        <f>ROUND(((J369*-0.03)-SUM('CSI Admin to Date'!E35:K35))/5,2)</f>
        <v>-6410.12</v>
      </c>
      <c r="N369" s="3"/>
      <c r="O369" s="5">
        <f t="shared" si="44"/>
        <v>207260.53</v>
      </c>
    </row>
    <row r="370" spans="1:15" ht="12.75" x14ac:dyDescent="0.2">
      <c r="A370" s="35" t="s">
        <v>162</v>
      </c>
      <c r="B370" s="13" t="s">
        <v>93</v>
      </c>
      <c r="C370" s="7" t="s">
        <v>19</v>
      </c>
      <c r="D370" s="22" t="s">
        <v>60</v>
      </c>
      <c r="E370" s="7" t="s">
        <v>201</v>
      </c>
      <c r="G370" s="36">
        <f>VLOOKUP(D370,'CSI Counts'!$B$2:$N$56,13,FALSE)</f>
        <v>372.6</v>
      </c>
      <c r="H370" s="47"/>
      <c r="I370" s="10">
        <v>7973.3106762699072</v>
      </c>
      <c r="J370" s="10">
        <f t="shared" si="45"/>
        <v>2970855.56</v>
      </c>
      <c r="K370" s="2">
        <f>ROUND((J370-SUM('Entitlement to Date'!E36:K36))/5,2)</f>
        <v>244118.01</v>
      </c>
      <c r="L370" s="3"/>
      <c r="M370" s="3">
        <f>ROUND(((J370*-0.03)-SUM('CSI Admin to Date'!E36:K36))/5,2)</f>
        <v>-7323.54</v>
      </c>
      <c r="N370" s="3">
        <v>-42338.84</v>
      </c>
      <c r="O370" s="5">
        <f t="shared" si="44"/>
        <v>194455.63</v>
      </c>
    </row>
    <row r="371" spans="1:15" ht="12.75" x14ac:dyDescent="0.2">
      <c r="A371" s="35" t="s">
        <v>156</v>
      </c>
      <c r="B371" s="13" t="s">
        <v>94</v>
      </c>
      <c r="C371" s="5" t="s">
        <v>40</v>
      </c>
      <c r="D371" s="21" t="s">
        <v>82</v>
      </c>
      <c r="E371" s="5" t="s">
        <v>202</v>
      </c>
      <c r="G371" s="36">
        <f>VLOOKUP(D371,'CSI Counts'!$B$2:$N$56,13,FALSE)</f>
        <v>87</v>
      </c>
      <c r="H371" s="47"/>
      <c r="I371" s="10">
        <v>7646.8323310244241</v>
      </c>
      <c r="J371" s="10">
        <f t="shared" si="45"/>
        <v>665274.41</v>
      </c>
      <c r="K371" s="2">
        <f>ROUND((J371-SUM('Entitlement to Date'!E37:K37))/5,2)</f>
        <v>54393.65</v>
      </c>
      <c r="L371" s="3"/>
      <c r="M371" s="3">
        <f>ROUND(((J371*-0.03)-SUM('CSI Admin to Date'!E37:K37))/5,2)</f>
        <v>-1631.8</v>
      </c>
      <c r="N371" s="3"/>
      <c r="O371" s="5">
        <f t="shared" si="44"/>
        <v>52761.85</v>
      </c>
    </row>
    <row r="372" spans="1:15" ht="12.75" x14ac:dyDescent="0.2">
      <c r="A372" s="35" t="s">
        <v>169</v>
      </c>
      <c r="B372" s="13" t="s">
        <v>95</v>
      </c>
      <c r="C372" s="5" t="s">
        <v>175</v>
      </c>
      <c r="D372" s="21" t="s">
        <v>74</v>
      </c>
      <c r="E372" s="5" t="s">
        <v>203</v>
      </c>
      <c r="G372" s="36">
        <f>VLOOKUP(D372,'CSI Counts'!$B$2:$N$56,13,FALSE)</f>
        <v>135</v>
      </c>
      <c r="H372" s="47"/>
      <c r="I372" s="10">
        <v>7859.3338239375189</v>
      </c>
      <c r="J372" s="10">
        <f t="shared" si="45"/>
        <v>1061010.07</v>
      </c>
      <c r="K372" s="2">
        <f>ROUND((J372-SUM('Entitlement to Date'!E38:K38))/5,2)</f>
        <v>88241.23</v>
      </c>
      <c r="L372" s="3"/>
      <c r="M372" s="3">
        <f>ROUND(((J372*-0.03)-SUM('CSI Admin to Date'!E38:K38))/5,2)</f>
        <v>-2647.24</v>
      </c>
      <c r="N372" s="3"/>
      <c r="O372" s="5">
        <f t="shared" si="44"/>
        <v>85593.989999999991</v>
      </c>
    </row>
    <row r="373" spans="1:15" ht="12.75" x14ac:dyDescent="0.2">
      <c r="A373" s="35" t="s">
        <v>152</v>
      </c>
      <c r="B373" s="13" t="s">
        <v>86</v>
      </c>
      <c r="C373" s="5" t="s">
        <v>176</v>
      </c>
      <c r="D373" s="21" t="s">
        <v>67</v>
      </c>
      <c r="E373" s="5" t="s">
        <v>204</v>
      </c>
      <c r="G373" s="36">
        <f>VLOOKUP(D373,'CSI Counts'!$B$2:$N$56,13,FALSE)</f>
        <v>473</v>
      </c>
      <c r="H373" s="47"/>
      <c r="I373" s="10">
        <v>7812.9818166843916</v>
      </c>
      <c r="J373" s="10">
        <f t="shared" si="45"/>
        <v>3695540.4</v>
      </c>
      <c r="K373" s="2">
        <f>ROUND((J373-SUM('Entitlement to Date'!E39:K39))/5,2)</f>
        <v>288359.02</v>
      </c>
      <c r="L373" s="3"/>
      <c r="M373" s="3">
        <f>ROUND(((J373*-0.03)-SUM('CSI Admin to Date'!E39:K39))/5,2)</f>
        <v>-8650.77</v>
      </c>
      <c r="N373" s="3">
        <v>-30487.35</v>
      </c>
      <c r="O373" s="5">
        <f t="shared" si="44"/>
        <v>249220.9</v>
      </c>
    </row>
    <row r="374" spans="1:15" x14ac:dyDescent="0.25">
      <c r="A374" s="35" t="s">
        <v>152</v>
      </c>
      <c r="B374" s="13" t="s">
        <v>86</v>
      </c>
      <c r="C374" s="6" t="s">
        <v>176</v>
      </c>
      <c r="D374" t="s">
        <v>47</v>
      </c>
      <c r="E374" s="6" t="s">
        <v>205</v>
      </c>
      <c r="G374" s="36">
        <f>VLOOKUP(D374,'CSI Counts'!$B$2:$N$56,13,FALSE)</f>
        <v>284</v>
      </c>
      <c r="H374" s="47"/>
      <c r="I374" s="10">
        <v>8011.7018166843927</v>
      </c>
      <c r="J374" s="10">
        <f t="shared" si="45"/>
        <v>2275323.3199999998</v>
      </c>
      <c r="K374" s="2">
        <f>ROUND((J374-SUM('Entitlement to Date'!E40:K40))/5,2)</f>
        <v>167029</v>
      </c>
      <c r="L374" s="3"/>
      <c r="M374" s="3">
        <f>ROUND(((J374*-0.03)-SUM('CSI Admin to Date'!E40:K40))/5,2)</f>
        <v>-5010.87</v>
      </c>
      <c r="N374" s="3">
        <v>-42638.53</v>
      </c>
      <c r="O374" s="5">
        <f t="shared" si="44"/>
        <v>119379.6</v>
      </c>
    </row>
    <row r="375" spans="1:15" x14ac:dyDescent="0.25">
      <c r="A375" s="35" t="s">
        <v>152</v>
      </c>
      <c r="B375" s="13" t="s">
        <v>86</v>
      </c>
      <c r="C375" s="8" t="s">
        <v>176</v>
      </c>
      <c r="D375" t="s">
        <v>48</v>
      </c>
      <c r="E375" s="8" t="s">
        <v>206</v>
      </c>
      <c r="G375" s="36">
        <f>VLOOKUP(D375,'CSI Counts'!$B$2:$N$56,13,FALSE)</f>
        <v>249</v>
      </c>
      <c r="H375" s="9"/>
      <c r="I375" s="10">
        <v>8086.5118166843922</v>
      </c>
      <c r="J375" s="10">
        <f t="shared" si="45"/>
        <v>2013541.44</v>
      </c>
      <c r="K375" s="2">
        <f>ROUND((J375-SUM('Entitlement to Date'!E41:K41))/5,2)</f>
        <v>156537.97</v>
      </c>
      <c r="L375" s="3"/>
      <c r="M375" s="3">
        <f>ROUND(((J375*-0.03)-SUM('CSI Admin to Date'!E41:K41))/5,2)</f>
        <v>-4696.1400000000003</v>
      </c>
      <c r="N375" s="3"/>
      <c r="O375" s="5">
        <f t="shared" si="44"/>
        <v>151841.82999999999</v>
      </c>
    </row>
    <row r="376" spans="1:15" x14ac:dyDescent="0.25">
      <c r="G376" s="9"/>
      <c r="H376" s="9"/>
      <c r="I376" s="6"/>
      <c r="J376" s="6"/>
      <c r="K376" s="6"/>
      <c r="L376" s="6"/>
      <c r="M376" s="6"/>
      <c r="N376" s="6"/>
      <c r="O376" s="6"/>
    </row>
    <row r="377" spans="1:15" x14ac:dyDescent="0.25">
      <c r="A377" s="48" t="s">
        <v>216</v>
      </c>
      <c r="C377" s="49">
        <v>7321.7200592130657</v>
      </c>
      <c r="G377" s="16">
        <f>SUM(G336:G376)</f>
        <v>19528.399999999998</v>
      </c>
      <c r="H377" s="9">
        <f>SUM(H336:H375)</f>
        <v>5</v>
      </c>
      <c r="I377" s="16"/>
      <c r="J377" s="16">
        <f t="shared" ref="J377:O377" si="46">SUM(J336:J375)</f>
        <v>152231992.92999995</v>
      </c>
      <c r="K377" s="16">
        <f t="shared" si="46"/>
        <v>12689481.810000001</v>
      </c>
      <c r="L377" s="16">
        <f t="shared" si="46"/>
        <v>0</v>
      </c>
      <c r="M377" s="3">
        <f t="shared" si="46"/>
        <v>-380684.44999999995</v>
      </c>
      <c r="N377" s="3">
        <f t="shared" si="46"/>
        <v>-1388832.5500000003</v>
      </c>
      <c r="O377" s="16">
        <f t="shared" si="46"/>
        <v>10919964.810000001</v>
      </c>
    </row>
    <row r="378" spans="1:15" x14ac:dyDescent="0.25">
      <c r="H378" s="8"/>
    </row>
    <row r="380" spans="1:15" ht="12.75" x14ac:dyDescent="0.2">
      <c r="A380" s="17" t="s">
        <v>170</v>
      </c>
      <c r="B380" s="17"/>
      <c r="C380" s="11"/>
      <c r="D380" s="11"/>
      <c r="E380" s="17"/>
      <c r="F380" s="19"/>
      <c r="G380" s="19"/>
      <c r="H380" s="19"/>
      <c r="I380" s="19"/>
      <c r="J380" s="19"/>
      <c r="K380" s="19"/>
      <c r="L380" s="19"/>
      <c r="M380" s="19"/>
      <c r="N380" s="19"/>
      <c r="O380" s="19"/>
    </row>
    <row r="381" spans="1:15" ht="63.75" x14ac:dyDescent="0.2">
      <c r="A381" s="20" t="s">
        <v>217</v>
      </c>
      <c r="B381" s="20"/>
      <c r="C381" s="11"/>
      <c r="D381" s="11" t="s">
        <v>38</v>
      </c>
      <c r="E381" s="17" t="s">
        <v>39</v>
      </c>
      <c r="F381" s="12"/>
      <c r="G381" s="23" t="s">
        <v>0</v>
      </c>
      <c r="H381" s="45" t="s">
        <v>215</v>
      </c>
      <c r="I381" s="23" t="s">
        <v>1</v>
      </c>
      <c r="J381" s="23" t="s">
        <v>2</v>
      </c>
      <c r="K381" s="23" t="s">
        <v>3</v>
      </c>
      <c r="L381" s="23" t="s">
        <v>4</v>
      </c>
      <c r="M381" s="23" t="s">
        <v>5</v>
      </c>
      <c r="N381" s="23" t="s">
        <v>28</v>
      </c>
      <c r="O381" s="23" t="s">
        <v>6</v>
      </c>
    </row>
    <row r="382" spans="1:15" x14ac:dyDescent="0.25">
      <c r="C382" s="6"/>
      <c r="E382" s="6"/>
      <c r="F382" s="6"/>
      <c r="G382" s="14"/>
      <c r="H382" s="46"/>
      <c r="I382" s="10"/>
      <c r="J382" s="10"/>
      <c r="K382" s="10"/>
      <c r="L382" s="10"/>
      <c r="M382" s="10"/>
      <c r="N382" s="10"/>
      <c r="O382" s="5"/>
    </row>
    <row r="383" spans="1:15" ht="12.75" x14ac:dyDescent="0.2">
      <c r="A383" s="35" t="s">
        <v>142</v>
      </c>
      <c r="B383" s="13" t="s">
        <v>86</v>
      </c>
      <c r="C383" s="1" t="s">
        <v>172</v>
      </c>
      <c r="D383" s="21" t="s">
        <v>44</v>
      </c>
      <c r="E383" s="1" t="s">
        <v>177</v>
      </c>
      <c r="G383" s="36">
        <f>VLOOKUP(D383,'CSI Counts'!$B$2:$N$56,13,FALSE)</f>
        <v>1860</v>
      </c>
      <c r="H383" s="47"/>
      <c r="I383" s="10">
        <v>7777.2526171542286</v>
      </c>
      <c r="J383" s="10">
        <f>ROUND(G383*I383,2)</f>
        <v>14465689.869999999</v>
      </c>
      <c r="K383" s="2">
        <v>1227522.6599999999</v>
      </c>
      <c r="L383" s="3"/>
      <c r="M383" s="3">
        <v>-36825.68</v>
      </c>
      <c r="N383" s="3">
        <v>-120485</v>
      </c>
      <c r="O383" s="5">
        <f t="shared" ref="O383:O422" si="47">K383+L383+M383+N383</f>
        <v>1070211.98</v>
      </c>
    </row>
    <row r="384" spans="1:15" ht="12.75" x14ac:dyDescent="0.2">
      <c r="A384" s="35" t="s">
        <v>142</v>
      </c>
      <c r="B384" s="13" t="s">
        <v>86</v>
      </c>
      <c r="C384" s="5" t="s">
        <v>172</v>
      </c>
      <c r="D384" s="21" t="s">
        <v>68</v>
      </c>
      <c r="E384" s="5" t="s">
        <v>178</v>
      </c>
      <c r="G384" s="36">
        <f>VLOOKUP(D384,'CSI Counts'!$B$2:$N$56,13,FALSE)</f>
        <v>828.5</v>
      </c>
      <c r="H384" s="47"/>
      <c r="I384" s="10">
        <v>7910.2526171542286</v>
      </c>
      <c r="J384" s="10">
        <f>ROUND(G384*I384,2)</f>
        <v>6553644.29</v>
      </c>
      <c r="K384" s="2">
        <f>ROUND((J384-SUM('Entitlement to Date'!E3:L3))/4,2)</f>
        <v>551286.78</v>
      </c>
      <c r="L384" s="3"/>
      <c r="M384" s="3">
        <f>ROUND(((J384*-0.03)-SUM('CSI Admin to Date'!E3:L3))/4,2)</f>
        <v>-16538.599999999999</v>
      </c>
      <c r="N384" s="3"/>
      <c r="O384" s="5">
        <f t="shared" si="47"/>
        <v>534748.18000000005</v>
      </c>
    </row>
    <row r="385" spans="1:15" ht="12.75" x14ac:dyDescent="0.2">
      <c r="A385" s="35" t="s">
        <v>142</v>
      </c>
      <c r="B385" s="13" t="s">
        <v>86</v>
      </c>
      <c r="C385" s="1" t="s">
        <v>172</v>
      </c>
      <c r="D385" s="22" t="s">
        <v>146</v>
      </c>
      <c r="E385" s="1" t="s">
        <v>179</v>
      </c>
      <c r="G385" s="36">
        <f>VLOOKUP(D385,'CSI Counts'!$B$2:$N$56,13,FALSE)</f>
        <v>2107</v>
      </c>
      <c r="H385" s="47">
        <v>5</v>
      </c>
      <c r="I385" s="10">
        <v>8153.4226171542286</v>
      </c>
      <c r="J385" s="10">
        <f>ROUND((G385*I385)+(H385*C424),2)</f>
        <v>17216498.649999999</v>
      </c>
      <c r="K385" s="2">
        <f>ROUND((J385-SUM('Entitlement to Date'!E4:L4))/4,2)</f>
        <v>1551923.26</v>
      </c>
      <c r="L385" s="3"/>
      <c r="M385" s="3">
        <f>ROUND(((J385*-0.03)-SUM('CSI Admin to Date'!E4:L4))/4,2)</f>
        <v>-46557.7</v>
      </c>
      <c r="N385" s="3">
        <v>-179210.43000000002</v>
      </c>
      <c r="O385" s="5">
        <f t="shared" si="47"/>
        <v>1326155.1300000001</v>
      </c>
    </row>
    <row r="386" spans="1:15" ht="12.75" x14ac:dyDescent="0.2">
      <c r="A386" s="35" t="s">
        <v>153</v>
      </c>
      <c r="B386" s="13" t="s">
        <v>89</v>
      </c>
      <c r="C386" s="5" t="s">
        <v>29</v>
      </c>
      <c r="D386" s="21" t="s">
        <v>80</v>
      </c>
      <c r="E386" s="5" t="s">
        <v>180</v>
      </c>
      <c r="G386" s="36">
        <f>VLOOKUP(D386,'CSI Counts'!$B$2:$N$56,13,FALSE)</f>
        <v>417.5</v>
      </c>
      <c r="H386" s="47"/>
      <c r="I386" s="10">
        <v>8245.1336297291928</v>
      </c>
      <c r="J386" s="10">
        <f t="shared" ref="J386:J422" si="48">ROUND(G386*I386,2)</f>
        <v>3442343.29</v>
      </c>
      <c r="K386" s="2">
        <f>ROUND((J386-SUM('Entitlement to Date'!E5:L5))/4,2)</f>
        <v>303602.11</v>
      </c>
      <c r="L386" s="3"/>
      <c r="M386" s="3">
        <f>ROUND(((J386*-0.03)-SUM('CSI Admin to Date'!E5:L5))/4,2)</f>
        <v>-9108.06</v>
      </c>
      <c r="N386" s="3">
        <v>-69104.3</v>
      </c>
      <c r="O386" s="5">
        <f t="shared" si="47"/>
        <v>225389.75</v>
      </c>
    </row>
    <row r="387" spans="1:15" ht="12.75" x14ac:dyDescent="0.2">
      <c r="A387" s="35" t="s">
        <v>153</v>
      </c>
      <c r="B387" s="13" t="s">
        <v>89</v>
      </c>
      <c r="C387" s="5" t="s">
        <v>29</v>
      </c>
      <c r="D387" s="21" t="s">
        <v>49</v>
      </c>
      <c r="E387" s="5" t="s">
        <v>181</v>
      </c>
      <c r="G387" s="36">
        <f>VLOOKUP(D387,'CSI Counts'!$B$2:$N$56,13,FALSE)</f>
        <v>289</v>
      </c>
      <c r="H387" s="47"/>
      <c r="I387" s="10">
        <v>8315.3036297291928</v>
      </c>
      <c r="J387" s="10">
        <f t="shared" si="48"/>
        <v>2403122.75</v>
      </c>
      <c r="K387" s="2">
        <f>ROUND((J387-SUM('Entitlement to Date'!E6:L6))/4,2)</f>
        <v>180694.62</v>
      </c>
      <c r="L387" s="3"/>
      <c r="M387" s="3">
        <f>ROUND(((J387*-0.03)-SUM('CSI Admin to Date'!E6:L6))/4,2)</f>
        <v>-5420.84</v>
      </c>
      <c r="N387" s="3"/>
      <c r="O387" s="5">
        <f t="shared" si="47"/>
        <v>175273.78</v>
      </c>
    </row>
    <row r="388" spans="1:15" ht="12.75" x14ac:dyDescent="0.2">
      <c r="A388" s="34" t="s">
        <v>153</v>
      </c>
      <c r="B388" s="13" t="s">
        <v>89</v>
      </c>
      <c r="C388" s="5" t="s">
        <v>29</v>
      </c>
      <c r="D388" s="21" t="s">
        <v>50</v>
      </c>
      <c r="E388" s="5" t="s">
        <v>182</v>
      </c>
      <c r="F388" s="15"/>
      <c r="G388" s="36">
        <f>VLOOKUP(D388,'CSI Counts'!$B$2:$N$56,13,FALSE)</f>
        <v>170</v>
      </c>
      <c r="H388" s="47"/>
      <c r="I388" s="10">
        <v>8913.4836297291931</v>
      </c>
      <c r="J388" s="10">
        <f t="shared" si="48"/>
        <v>1515292.22</v>
      </c>
      <c r="K388" s="2">
        <f>ROUND((J388-SUM('Entitlement to Date'!E7:L7))/4,2)</f>
        <v>79407.59</v>
      </c>
      <c r="L388" s="3"/>
      <c r="M388" s="3">
        <f>ROUND(((J388*-0.03)-SUM('CSI Admin to Date'!E7:L7))/4,2)</f>
        <v>-2382.23</v>
      </c>
      <c r="N388" s="3"/>
      <c r="O388" s="5">
        <f t="shared" si="47"/>
        <v>77025.36</v>
      </c>
    </row>
    <row r="389" spans="1:15" ht="12.75" x14ac:dyDescent="0.2">
      <c r="A389" s="34" t="s">
        <v>153</v>
      </c>
      <c r="B389" s="13" t="s">
        <v>89</v>
      </c>
      <c r="C389" s="5" t="s">
        <v>29</v>
      </c>
      <c r="D389" s="21" t="s">
        <v>97</v>
      </c>
      <c r="E389" s="5" t="s">
        <v>183</v>
      </c>
      <c r="F389" s="15"/>
      <c r="G389" s="36">
        <f>VLOOKUP(D389,'CSI Counts'!$B$2:$N$56,13,FALSE)</f>
        <v>94</v>
      </c>
      <c r="H389" s="47"/>
      <c r="I389" s="10">
        <v>9067.0136297291938</v>
      </c>
      <c r="J389" s="10">
        <f t="shared" si="48"/>
        <v>852299.28</v>
      </c>
      <c r="K389" s="2">
        <f>ROUND((J389-SUM('Entitlement to Date'!E8:L8))/4,2)</f>
        <v>70896.899999999994</v>
      </c>
      <c r="L389" s="3"/>
      <c r="M389" s="3">
        <f>ROUND(((J389*-0.03)-SUM('CSI Admin to Date'!E8:L8))/4,2)</f>
        <v>-2126.91</v>
      </c>
      <c r="N389" s="3"/>
      <c r="O389" s="5">
        <f t="shared" si="47"/>
        <v>68769.989999999991</v>
      </c>
    </row>
    <row r="390" spans="1:15" ht="12.75" x14ac:dyDescent="0.2">
      <c r="A390" s="34" t="s">
        <v>151</v>
      </c>
      <c r="B390" s="13" t="s">
        <v>86</v>
      </c>
      <c r="C390" s="1" t="s">
        <v>85</v>
      </c>
      <c r="D390" s="22" t="s">
        <v>46</v>
      </c>
      <c r="E390" s="4" t="s">
        <v>184</v>
      </c>
      <c r="F390" s="15"/>
      <c r="G390" s="36">
        <f>VLOOKUP(D390,'CSI Counts'!$B$2:$N$56,13,FALSE)</f>
        <v>688.5</v>
      </c>
      <c r="H390" s="47"/>
      <c r="I390" s="10">
        <v>8006.7354759781902</v>
      </c>
      <c r="J390" s="10">
        <f t="shared" si="48"/>
        <v>5512637.3799999999</v>
      </c>
      <c r="K390" s="2">
        <f>ROUND((J390-SUM('Entitlement to Date'!E9:L9))/4,2)</f>
        <v>479447.1</v>
      </c>
      <c r="L390" s="3"/>
      <c r="M390" s="3">
        <f>ROUND(((J390*-0.03)-SUM('CSI Admin to Date'!E9:L9))/4,2)</f>
        <v>-14383.42</v>
      </c>
      <c r="N390" s="3">
        <v>-68610.62999999999</v>
      </c>
      <c r="O390" s="5">
        <f t="shared" si="47"/>
        <v>396453.05</v>
      </c>
    </row>
    <row r="391" spans="1:15" ht="12.75" x14ac:dyDescent="0.2">
      <c r="A391" s="34" t="s">
        <v>147</v>
      </c>
      <c r="B391" s="13" t="s">
        <v>86</v>
      </c>
      <c r="C391" s="5" t="s">
        <v>8</v>
      </c>
      <c r="D391" s="21" t="s">
        <v>45</v>
      </c>
      <c r="E391" s="18" t="s">
        <v>185</v>
      </c>
      <c r="F391" s="15"/>
      <c r="G391" s="36">
        <f>VLOOKUP(D391,'CSI Counts'!$B$2:$N$56,13,FALSE)</f>
        <v>671</v>
      </c>
      <c r="H391" s="47"/>
      <c r="I391" s="10">
        <v>8197.9955054902985</v>
      </c>
      <c r="J391" s="10">
        <f t="shared" si="48"/>
        <v>5500854.9800000004</v>
      </c>
      <c r="K391" s="2">
        <f>ROUND((J391-SUM('Entitlement to Date'!E10:L10))/4,2)</f>
        <v>413433.03</v>
      </c>
      <c r="L391" s="3"/>
      <c r="M391" s="3">
        <f>ROUND(((J391*-0.03)-SUM('CSI Admin to Date'!E10:L10))/4,2)</f>
        <v>-12402.99</v>
      </c>
      <c r="N391" s="3">
        <v>-159448.34</v>
      </c>
      <c r="O391" s="5">
        <f t="shared" si="47"/>
        <v>241581.70000000004</v>
      </c>
    </row>
    <row r="392" spans="1:15" ht="12.75" x14ac:dyDescent="0.2">
      <c r="A392" s="34" t="s">
        <v>161</v>
      </c>
      <c r="B392" s="15" t="s">
        <v>90</v>
      </c>
      <c r="C392" s="5" t="s">
        <v>15</v>
      </c>
      <c r="D392" s="21" t="s">
        <v>55</v>
      </c>
      <c r="E392" s="5" t="s">
        <v>186</v>
      </c>
      <c r="F392" s="15"/>
      <c r="G392" s="36">
        <f>VLOOKUP(D392,'CSI Counts'!$B$2:$N$56,13,FALSE)</f>
        <v>540</v>
      </c>
      <c r="H392" s="47"/>
      <c r="I392" s="10">
        <v>7717.7</v>
      </c>
      <c r="J392" s="10">
        <f t="shared" si="48"/>
        <v>4167558</v>
      </c>
      <c r="K392" s="2">
        <f>ROUND((J392-SUM('Entitlement to Date'!E11:L11))/4,2)</f>
        <v>341737.22</v>
      </c>
      <c r="L392" s="3"/>
      <c r="M392" s="3">
        <f>ROUND(((J392*-0.03)-SUM('CSI Admin to Date'!E11:L11))/4,2)</f>
        <v>-10252.11</v>
      </c>
      <c r="N392" s="3">
        <v>-146415.41999999998</v>
      </c>
      <c r="O392" s="5">
        <f t="shared" si="47"/>
        <v>185069.69</v>
      </c>
    </row>
    <row r="393" spans="1:15" ht="12.75" x14ac:dyDescent="0.2">
      <c r="A393" s="34" t="s">
        <v>161</v>
      </c>
      <c r="B393" s="15" t="s">
        <v>90</v>
      </c>
      <c r="C393" s="5" t="s">
        <v>15</v>
      </c>
      <c r="D393" s="21" t="s">
        <v>56</v>
      </c>
      <c r="E393" s="5" t="s">
        <v>187</v>
      </c>
      <c r="F393" s="15"/>
      <c r="G393" s="36">
        <f>VLOOKUP(D393,'CSI Counts'!$B$2:$N$56,13,FALSE)</f>
        <v>248.5</v>
      </c>
      <c r="H393" s="47"/>
      <c r="I393" s="10">
        <v>7799.3827853852417</v>
      </c>
      <c r="J393" s="10">
        <f t="shared" si="48"/>
        <v>1938146.62</v>
      </c>
      <c r="K393" s="2">
        <f>ROUND((J393-SUM('Entitlement to Date'!E12:L12))/4,2)</f>
        <v>166987.04999999999</v>
      </c>
      <c r="L393" s="3"/>
      <c r="M393" s="3">
        <f>ROUND(((J393*-0.03)-SUM('CSI Admin to Date'!E12:L12))/4,2)</f>
        <v>-5009.6099999999997</v>
      </c>
      <c r="N393" s="3"/>
      <c r="O393" s="5">
        <f t="shared" si="47"/>
        <v>161977.44</v>
      </c>
    </row>
    <row r="394" spans="1:15" ht="12.75" x14ac:dyDescent="0.2">
      <c r="A394" s="34" t="s">
        <v>161</v>
      </c>
      <c r="B394" s="15" t="s">
        <v>90</v>
      </c>
      <c r="C394" s="1" t="s">
        <v>15</v>
      </c>
      <c r="D394" s="22" t="s">
        <v>79</v>
      </c>
      <c r="E394" s="1" t="s">
        <v>77</v>
      </c>
      <c r="F394" s="15"/>
      <c r="G394" s="36">
        <f>VLOOKUP(D394,'CSI Counts'!$B$2:$N$56,13,FALSE)</f>
        <v>630.5</v>
      </c>
      <c r="H394" s="47"/>
      <c r="I394" s="10">
        <v>7835.5727853852422</v>
      </c>
      <c r="J394" s="10">
        <f t="shared" si="48"/>
        <v>4940328.6399999997</v>
      </c>
      <c r="K394" s="2">
        <f>ROUND((J394-SUM('Entitlement to Date'!E13:L13))/4,2)</f>
        <v>434705.71</v>
      </c>
      <c r="L394" s="3"/>
      <c r="M394" s="3">
        <f>ROUND(((J394*-0.03)-SUM('CSI Admin to Date'!E13:L13))/4,2)</f>
        <v>-13041.17</v>
      </c>
      <c r="N394" s="3"/>
      <c r="O394" s="5">
        <f t="shared" si="47"/>
        <v>421664.54000000004</v>
      </c>
    </row>
    <row r="395" spans="1:15" ht="12.75" x14ac:dyDescent="0.2">
      <c r="A395" s="34" t="s">
        <v>161</v>
      </c>
      <c r="B395" s="15" t="s">
        <v>90</v>
      </c>
      <c r="C395" s="1" t="s">
        <v>15</v>
      </c>
      <c r="D395" s="22" t="s">
        <v>54</v>
      </c>
      <c r="E395" s="1" t="s">
        <v>17</v>
      </c>
      <c r="F395" s="15"/>
      <c r="G395" s="36">
        <f>VLOOKUP(D395,'CSI Counts'!$B$2:$N$56,13,FALSE)</f>
        <v>382</v>
      </c>
      <c r="H395" s="47"/>
      <c r="I395" s="10">
        <v>7752.5727853852422</v>
      </c>
      <c r="J395" s="10">
        <f t="shared" si="48"/>
        <v>2961482.8</v>
      </c>
      <c r="K395" s="2">
        <f>ROUND((J395-SUM('Entitlement to Date'!E14:L14))/4,2)</f>
        <v>236785.39</v>
      </c>
      <c r="L395" s="3"/>
      <c r="M395" s="3">
        <f>ROUND(((J395*-0.03)-SUM('CSI Admin to Date'!E14:L14))/4,2)</f>
        <v>-7103.56</v>
      </c>
      <c r="N395" s="3">
        <v>-42500</v>
      </c>
      <c r="O395" s="5">
        <f t="shared" si="47"/>
        <v>187181.83000000002</v>
      </c>
    </row>
    <row r="396" spans="1:15" ht="12.75" x14ac:dyDescent="0.2">
      <c r="A396" s="34" t="s">
        <v>161</v>
      </c>
      <c r="B396" s="15" t="s">
        <v>90</v>
      </c>
      <c r="C396" s="1" t="s">
        <v>15</v>
      </c>
      <c r="D396" s="22" t="s">
        <v>114</v>
      </c>
      <c r="E396" s="1" t="s">
        <v>124</v>
      </c>
      <c r="F396" s="15"/>
      <c r="G396" s="36">
        <f>VLOOKUP(D396,'CSI Counts'!$B$2:$N$56,13,FALSE)</f>
        <v>224</v>
      </c>
      <c r="H396" s="47"/>
      <c r="I396" s="10">
        <v>8073.3527853852429</v>
      </c>
      <c r="J396" s="10">
        <f t="shared" si="48"/>
        <v>1808431.02</v>
      </c>
      <c r="K396" s="2">
        <f>ROUND((J396-SUM('Entitlement to Date'!E15:L15))/4,2)</f>
        <v>170419.46</v>
      </c>
      <c r="L396" s="3"/>
      <c r="M396" s="3">
        <f>ROUND(((J396*-0.03)-SUM('CSI Admin to Date'!E15:L15))/4,2)</f>
        <v>-5112.59</v>
      </c>
      <c r="N396" s="3"/>
      <c r="O396" s="5">
        <f t="shared" si="47"/>
        <v>165306.87</v>
      </c>
    </row>
    <row r="397" spans="1:15" ht="12.75" x14ac:dyDescent="0.2">
      <c r="A397" s="34" t="s">
        <v>161</v>
      </c>
      <c r="B397" s="15" t="s">
        <v>90</v>
      </c>
      <c r="C397" s="1" t="s">
        <v>15</v>
      </c>
      <c r="D397" s="22" t="s">
        <v>118</v>
      </c>
      <c r="E397" s="4" t="s">
        <v>119</v>
      </c>
      <c r="G397" s="36">
        <f>VLOOKUP(D397,'CSI Counts'!$B$2:$N$56,13,FALSE)</f>
        <v>338</v>
      </c>
      <c r="H397" s="47"/>
      <c r="I397" s="10">
        <v>8172.7027853852414</v>
      </c>
      <c r="J397" s="10">
        <f t="shared" si="48"/>
        <v>2762373.54</v>
      </c>
      <c r="K397" s="2">
        <f>ROUND((J397-SUM('Entitlement to Date'!E16:L16))/4,2)</f>
        <v>274608.36</v>
      </c>
      <c r="L397" s="3"/>
      <c r="M397" s="3">
        <f>ROUND(((J397*-0.03)-SUM('CSI Admin to Date'!E16:L16))/4,2)</f>
        <v>-8238.25</v>
      </c>
      <c r="N397" s="3"/>
      <c r="O397" s="5">
        <f t="shared" si="47"/>
        <v>266370.11</v>
      </c>
    </row>
    <row r="398" spans="1:15" ht="12.75" x14ac:dyDescent="0.2">
      <c r="A398" s="34" t="s">
        <v>161</v>
      </c>
      <c r="B398" s="15" t="s">
        <v>90</v>
      </c>
      <c r="C398" s="1" t="s">
        <v>15</v>
      </c>
      <c r="D398" s="22" t="s">
        <v>58</v>
      </c>
      <c r="E398" s="1" t="s">
        <v>188</v>
      </c>
      <c r="G398" s="36">
        <f>VLOOKUP(D398,'CSI Counts'!$B$2:$N$56,13,FALSE)</f>
        <v>304</v>
      </c>
      <c r="H398" s="47"/>
      <c r="I398" s="10">
        <v>7904.8827853852417</v>
      </c>
      <c r="J398" s="10">
        <f t="shared" si="48"/>
        <v>2403084.37</v>
      </c>
      <c r="K398" s="2">
        <f>ROUND((J398-SUM('Entitlement to Date'!E17:L17))/4,2)</f>
        <v>193872.98</v>
      </c>
      <c r="L398" s="3"/>
      <c r="M398" s="3">
        <f>ROUND(((J398*-0.03)-SUM('CSI Admin to Date'!E17:L17))/4,2)</f>
        <v>-5816.19</v>
      </c>
      <c r="N398" s="3">
        <v>-17523.8</v>
      </c>
      <c r="O398" s="5">
        <f t="shared" si="47"/>
        <v>170532.99000000002</v>
      </c>
    </row>
    <row r="399" spans="1:15" ht="12.75" x14ac:dyDescent="0.2">
      <c r="A399" s="34" t="s">
        <v>161</v>
      </c>
      <c r="B399" s="15" t="s">
        <v>90</v>
      </c>
      <c r="C399" s="1" t="s">
        <v>15</v>
      </c>
      <c r="D399" s="22" t="s">
        <v>71</v>
      </c>
      <c r="E399" s="4" t="s">
        <v>70</v>
      </c>
      <c r="G399" s="36">
        <f>VLOOKUP(D399,'CSI Counts'!$B$2:$N$56,13,FALSE)</f>
        <v>58</v>
      </c>
      <c r="H399" s="47"/>
      <c r="I399" s="10">
        <v>7717.7</v>
      </c>
      <c r="J399" s="10">
        <f t="shared" si="48"/>
        <v>447626.6</v>
      </c>
      <c r="K399" s="2">
        <f>ROUND((J399-SUM('Entitlement to Date'!E18:L18))/4,2)</f>
        <v>31517.01</v>
      </c>
      <c r="L399" s="3"/>
      <c r="M399" s="3">
        <f>ROUND(((J399*-0.03)-SUM('CSI Admin to Date'!E18:L18))/4,2)</f>
        <v>-945.51</v>
      </c>
      <c r="N399" s="3"/>
      <c r="O399" s="5">
        <f t="shared" si="47"/>
        <v>30571.5</v>
      </c>
    </row>
    <row r="400" spans="1:15" ht="12.75" x14ac:dyDescent="0.2">
      <c r="A400" s="34" t="s">
        <v>161</v>
      </c>
      <c r="B400" s="15" t="s">
        <v>90</v>
      </c>
      <c r="C400" s="7" t="s">
        <v>15</v>
      </c>
      <c r="D400" s="21" t="s">
        <v>57</v>
      </c>
      <c r="E400" s="7" t="s">
        <v>32</v>
      </c>
      <c r="G400" s="36">
        <f>VLOOKUP(D400,'CSI Counts'!$B$2:$N$56,13,FALSE)</f>
        <v>323.8</v>
      </c>
      <c r="H400" s="47"/>
      <c r="I400" s="10">
        <v>7737.5327853852414</v>
      </c>
      <c r="J400" s="10">
        <f t="shared" si="48"/>
        <v>2505413.12</v>
      </c>
      <c r="K400" s="2">
        <f>ROUND((J400-SUM('Entitlement to Date'!E19:L19))/4,2)</f>
        <v>207055.59</v>
      </c>
      <c r="L400" s="3"/>
      <c r="M400" s="3">
        <f>ROUND(((J400*-0.03)-SUM('CSI Admin to Date'!E19:L19))/4,2)</f>
        <v>-6211.67</v>
      </c>
      <c r="N400" s="3"/>
      <c r="O400" s="5">
        <f t="shared" si="47"/>
        <v>200843.91999999998</v>
      </c>
    </row>
    <row r="401" spans="1:15" ht="12.75" x14ac:dyDescent="0.2">
      <c r="A401" s="34" t="s">
        <v>161</v>
      </c>
      <c r="B401" s="15" t="s">
        <v>90</v>
      </c>
      <c r="C401" s="1" t="s">
        <v>15</v>
      </c>
      <c r="D401" s="21" t="s">
        <v>53</v>
      </c>
      <c r="E401" s="1" t="s">
        <v>189</v>
      </c>
      <c r="G401" s="36">
        <f>VLOOKUP(D401,'CSI Counts'!$B$2:$N$56,13,FALSE)</f>
        <v>906.1</v>
      </c>
      <c r="H401" s="47"/>
      <c r="I401" s="10">
        <v>7717.7</v>
      </c>
      <c r="J401" s="10">
        <f t="shared" si="48"/>
        <v>6993007.9699999997</v>
      </c>
      <c r="K401" s="2">
        <f>ROUND((J401-SUM('Entitlement to Date'!E20:L20))/4,2)</f>
        <v>580962.73</v>
      </c>
      <c r="L401" s="3"/>
      <c r="M401" s="3">
        <f>ROUND(((J401*-0.03)-SUM('CSI Admin to Date'!E20:L20))/4,2)</f>
        <v>-17428.88</v>
      </c>
      <c r="N401" s="3">
        <v>-63601.67</v>
      </c>
      <c r="O401" s="5">
        <f t="shared" si="47"/>
        <v>499932.18</v>
      </c>
    </row>
    <row r="402" spans="1:15" ht="12.75" x14ac:dyDescent="0.2">
      <c r="A402" s="35" t="s">
        <v>157</v>
      </c>
      <c r="B402" s="13" t="s">
        <v>87</v>
      </c>
      <c r="C402" s="5" t="s">
        <v>87</v>
      </c>
      <c r="D402" s="21" t="s">
        <v>173</v>
      </c>
      <c r="E402" s="5" t="s">
        <v>190</v>
      </c>
      <c r="G402" s="36">
        <f>VLOOKUP(D402,'CSI Counts'!$B$2:$N$56,13,FALSE)</f>
        <v>591</v>
      </c>
      <c r="H402" s="47"/>
      <c r="I402" s="10">
        <v>7854.3652850554863</v>
      </c>
      <c r="J402" s="10">
        <f t="shared" si="48"/>
        <v>4641929.88</v>
      </c>
      <c r="K402" s="2">
        <f>ROUND((J402-SUM('Entitlement to Date'!E21:L21))/4,2)</f>
        <v>378773.81</v>
      </c>
      <c r="L402" s="3"/>
      <c r="M402" s="3">
        <f>ROUND(((J402*-0.03)-SUM('CSI Admin to Date'!E21:L21))/4,2)</f>
        <v>-11363.22</v>
      </c>
      <c r="N402" s="3"/>
      <c r="O402" s="5">
        <f t="shared" si="47"/>
        <v>367410.59</v>
      </c>
    </row>
    <row r="403" spans="1:15" ht="12.75" x14ac:dyDescent="0.2">
      <c r="A403" s="35" t="s">
        <v>157</v>
      </c>
      <c r="B403" s="13" t="s">
        <v>87</v>
      </c>
      <c r="C403" s="1" t="s">
        <v>87</v>
      </c>
      <c r="D403" s="22" t="s">
        <v>51</v>
      </c>
      <c r="E403" s="1" t="s">
        <v>191</v>
      </c>
      <c r="G403" s="36">
        <f>VLOOKUP(D403,'CSI Counts'!$B$2:$N$56,13,FALSE)</f>
        <v>829</v>
      </c>
      <c r="H403" s="47"/>
      <c r="I403" s="10">
        <v>7792.669148095486</v>
      </c>
      <c r="J403" s="10">
        <f t="shared" si="48"/>
        <v>6460122.7199999997</v>
      </c>
      <c r="K403" s="2">
        <f>ROUND((J403-SUM('Entitlement to Date'!E22:L22))/4,2)</f>
        <v>546631.61</v>
      </c>
      <c r="L403" s="3"/>
      <c r="M403" s="3">
        <f>ROUND(((J403*-0.03)-SUM('CSI Admin to Date'!E22:L22))/4,2)</f>
        <v>-16398.95</v>
      </c>
      <c r="N403" s="3">
        <v>-73961.25</v>
      </c>
      <c r="O403" s="5">
        <f t="shared" si="47"/>
        <v>456271.41000000003</v>
      </c>
    </row>
    <row r="404" spans="1:15" ht="12.75" x14ac:dyDescent="0.2">
      <c r="A404" s="35" t="s">
        <v>165</v>
      </c>
      <c r="B404" s="13" t="s">
        <v>91</v>
      </c>
      <c r="C404" s="7" t="s">
        <v>21</v>
      </c>
      <c r="D404" s="22" t="s">
        <v>61</v>
      </c>
      <c r="E404" s="7" t="s">
        <v>192</v>
      </c>
      <c r="G404" s="36">
        <f>VLOOKUP(D404,'CSI Counts'!$B$2:$N$56,13,FALSE)</f>
        <v>195.5</v>
      </c>
      <c r="H404" s="47"/>
      <c r="I404" s="10">
        <v>7972.0369001983618</v>
      </c>
      <c r="J404" s="10">
        <f t="shared" si="48"/>
        <v>1558533.21</v>
      </c>
      <c r="K404" s="2">
        <f>ROUND((J404-SUM('Entitlement to Date'!E23:L23))/4,2)</f>
        <v>133891.72</v>
      </c>
      <c r="L404" s="3"/>
      <c r="M404" s="3">
        <f>ROUND(((J404*-0.03)-SUM('CSI Admin to Date'!E23:L23))/4,2)</f>
        <v>-4016.75</v>
      </c>
      <c r="N404" s="3"/>
      <c r="O404" s="5">
        <f t="shared" si="47"/>
        <v>129874.97</v>
      </c>
    </row>
    <row r="405" spans="1:15" ht="12.75" x14ac:dyDescent="0.2">
      <c r="A405" s="35" t="s">
        <v>165</v>
      </c>
      <c r="B405" s="13" t="s">
        <v>91</v>
      </c>
      <c r="C405" s="5" t="s">
        <v>21</v>
      </c>
      <c r="D405" s="21" t="s">
        <v>62</v>
      </c>
      <c r="E405" s="5" t="s">
        <v>23</v>
      </c>
      <c r="G405" s="36">
        <f>VLOOKUP(D405,'CSI Counts'!$B$2:$N$56,13,FALSE)</f>
        <v>246.5</v>
      </c>
      <c r="H405" s="47"/>
      <c r="I405" s="10">
        <v>7879.916900198361</v>
      </c>
      <c r="J405" s="10">
        <f t="shared" si="48"/>
        <v>1942399.52</v>
      </c>
      <c r="K405" s="2">
        <f>ROUND((J405-SUM('Entitlement to Date'!E24:L24))/4,2)</f>
        <v>165379.07999999999</v>
      </c>
      <c r="L405" s="3"/>
      <c r="M405" s="3">
        <f>ROUND(((J405*-0.03)-SUM('CSI Admin to Date'!E24:L24))/4,2)</f>
        <v>-4961.37</v>
      </c>
      <c r="N405" s="3"/>
      <c r="O405" s="5">
        <f t="shared" si="47"/>
        <v>160417.71</v>
      </c>
    </row>
    <row r="406" spans="1:15" ht="12.75" x14ac:dyDescent="0.2">
      <c r="A406" s="35" t="s">
        <v>158</v>
      </c>
      <c r="B406" s="13" t="s">
        <v>13</v>
      </c>
      <c r="C406" s="5" t="s">
        <v>13</v>
      </c>
      <c r="D406" s="21" t="s">
        <v>52</v>
      </c>
      <c r="E406" s="5" t="s">
        <v>193</v>
      </c>
      <c r="G406" s="36">
        <f>VLOOKUP(D406,'CSI Counts'!$B$2:$N$56,13,FALSE)</f>
        <v>309</v>
      </c>
      <c r="H406" s="47"/>
      <c r="I406" s="10">
        <v>8247.0267303231503</v>
      </c>
      <c r="J406" s="10">
        <f t="shared" si="48"/>
        <v>2548331.2599999998</v>
      </c>
      <c r="K406" s="2">
        <f>ROUND((J406-SUM('Entitlement to Date'!E25:L25))/4,2)</f>
        <v>212460.44</v>
      </c>
      <c r="L406" s="3"/>
      <c r="M406" s="3">
        <f>ROUND(((J406*-0.03)-SUM('CSI Admin to Date'!E25:L25))/4,2)</f>
        <v>-6373.81</v>
      </c>
      <c r="N406" s="3"/>
      <c r="O406" s="5">
        <f t="shared" si="47"/>
        <v>206086.63</v>
      </c>
    </row>
    <row r="407" spans="1:15" ht="12.75" x14ac:dyDescent="0.2">
      <c r="A407" s="35" t="s">
        <v>164</v>
      </c>
      <c r="B407" s="13" t="s">
        <v>84</v>
      </c>
      <c r="C407" s="1" t="s">
        <v>84</v>
      </c>
      <c r="D407" s="22" t="s">
        <v>96</v>
      </c>
      <c r="E407" s="1" t="s">
        <v>83</v>
      </c>
      <c r="G407" s="36">
        <f>VLOOKUP(D407,'CSI Counts'!$B$2:$N$56,13,FALSE)</f>
        <v>695.5</v>
      </c>
      <c r="H407" s="47"/>
      <c r="I407" s="10">
        <v>7943.1782356493159</v>
      </c>
      <c r="J407" s="10">
        <f t="shared" si="48"/>
        <v>5524480.46</v>
      </c>
      <c r="K407" s="2">
        <f>ROUND((J407-SUM('Entitlement to Date'!E26:L26))/4,2)</f>
        <v>475319.2</v>
      </c>
      <c r="L407" s="3"/>
      <c r="M407" s="3">
        <f>ROUND(((J407*-0.03)-SUM('CSI Admin to Date'!E26:L26))/4,2)</f>
        <v>-14259.58</v>
      </c>
      <c r="N407" s="3">
        <v>-52246.990000000005</v>
      </c>
      <c r="O407" s="5">
        <f t="shared" si="47"/>
        <v>408812.63</v>
      </c>
    </row>
    <row r="408" spans="1:15" ht="12.75" x14ac:dyDescent="0.2">
      <c r="A408" s="35" t="s">
        <v>168</v>
      </c>
      <c r="B408" s="13" t="s">
        <v>88</v>
      </c>
      <c r="C408" s="1" t="s">
        <v>25</v>
      </c>
      <c r="D408" s="22" t="s">
        <v>65</v>
      </c>
      <c r="E408" s="1" t="s">
        <v>26</v>
      </c>
      <c r="G408" s="36">
        <f>VLOOKUP(D408,'CSI Counts'!$B$2:$N$56,13,FALSE)</f>
        <v>886.3</v>
      </c>
      <c r="H408" s="47"/>
      <c r="I408" s="10">
        <v>7717.7</v>
      </c>
      <c r="J408" s="10">
        <f t="shared" si="48"/>
        <v>6840197.5099999998</v>
      </c>
      <c r="K408" s="2">
        <f>ROUND((J408-SUM('Entitlement to Date'!E27:L27))/4,2)</f>
        <v>595494.42000000004</v>
      </c>
      <c r="L408" s="3"/>
      <c r="M408" s="3">
        <f>ROUND(((J408*-0.03)-SUM('CSI Admin to Date'!E27:L27))/4,2)</f>
        <v>-17864.830000000002</v>
      </c>
      <c r="N408" s="3">
        <v>-110255.83</v>
      </c>
      <c r="O408" s="5">
        <f t="shared" si="47"/>
        <v>467373.76000000007</v>
      </c>
    </row>
    <row r="409" spans="1:15" ht="12.75" x14ac:dyDescent="0.2">
      <c r="A409" s="35" t="s">
        <v>168</v>
      </c>
      <c r="B409" s="13" t="s">
        <v>88</v>
      </c>
      <c r="C409" s="1" t="s">
        <v>25</v>
      </c>
      <c r="D409" s="22" t="s">
        <v>81</v>
      </c>
      <c r="E409" s="1" t="s">
        <v>194</v>
      </c>
      <c r="G409" s="36">
        <f>VLOOKUP(D409,'CSI Counts'!$B$2:$N$56,13,FALSE)</f>
        <v>53</v>
      </c>
      <c r="H409" s="47"/>
      <c r="I409" s="10">
        <v>7717.7</v>
      </c>
      <c r="J409" s="10">
        <f t="shared" si="48"/>
        <v>409038.1</v>
      </c>
      <c r="K409" s="2">
        <f>ROUND((J409-SUM('Entitlement to Date'!E28:L28))/4,2)</f>
        <v>31353.33</v>
      </c>
      <c r="L409" s="3"/>
      <c r="M409" s="3">
        <f>ROUND(((J409*-0.03)-SUM('CSI Admin to Date'!E28:L28))/4,2)</f>
        <v>-940.6</v>
      </c>
      <c r="N409" s="3"/>
      <c r="O409" s="5">
        <f t="shared" si="47"/>
        <v>30412.730000000003</v>
      </c>
    </row>
    <row r="410" spans="1:15" ht="12.75" x14ac:dyDescent="0.2">
      <c r="A410" s="35" t="s">
        <v>166</v>
      </c>
      <c r="B410" s="13" t="s">
        <v>92</v>
      </c>
      <c r="C410" s="1" t="s">
        <v>24</v>
      </c>
      <c r="D410" s="22" t="s">
        <v>63</v>
      </c>
      <c r="E410" s="1" t="s">
        <v>195</v>
      </c>
      <c r="G410" s="36">
        <f>VLOOKUP(D410,'CSI Counts'!$B$2:$N$56,13,FALSE)</f>
        <v>185</v>
      </c>
      <c r="H410" s="47"/>
      <c r="I410" s="10">
        <v>7717.7</v>
      </c>
      <c r="J410" s="10">
        <f t="shared" si="48"/>
        <v>1427774.5</v>
      </c>
      <c r="K410" s="2">
        <f>ROUND((J410-SUM('Entitlement to Date'!E29:L29))/4,2)</f>
        <v>117504.95</v>
      </c>
      <c r="L410" s="3"/>
      <c r="M410" s="3">
        <f>ROUND(((J410*-0.03)-SUM('CSI Admin to Date'!E29:L29))/4,2)</f>
        <v>-3525.14</v>
      </c>
      <c r="N410" s="3"/>
      <c r="O410" s="5">
        <f t="shared" si="47"/>
        <v>113979.81</v>
      </c>
    </row>
    <row r="411" spans="1:15" ht="12.75" x14ac:dyDescent="0.2">
      <c r="A411" s="35" t="s">
        <v>166</v>
      </c>
      <c r="B411" s="13" t="s">
        <v>92</v>
      </c>
      <c r="C411" s="1" t="s">
        <v>24</v>
      </c>
      <c r="D411" s="22" t="s">
        <v>174</v>
      </c>
      <c r="E411" s="1" t="s">
        <v>196</v>
      </c>
      <c r="G411" s="36">
        <f>VLOOKUP(D411,'CSI Counts'!$B$2:$N$56,13,FALSE)</f>
        <v>243.5</v>
      </c>
      <c r="H411" s="47"/>
      <c r="I411" s="10">
        <v>7717.7</v>
      </c>
      <c r="J411" s="10">
        <f t="shared" si="48"/>
        <v>1879259.95</v>
      </c>
      <c r="K411" s="2">
        <f>ROUND((J411-SUM('Entitlement to Date'!E30:L30))/4,2)</f>
        <v>169246.37</v>
      </c>
      <c r="L411" s="3"/>
      <c r="M411" s="3">
        <f>ROUND(((J411*-0.03)-SUM('CSI Admin to Date'!E30:L30))/4,2)</f>
        <v>-5077.3900000000003</v>
      </c>
      <c r="N411" s="3"/>
      <c r="O411" s="5">
        <f t="shared" si="47"/>
        <v>164168.97999999998</v>
      </c>
    </row>
    <row r="412" spans="1:15" ht="12.75" x14ac:dyDescent="0.2">
      <c r="A412" s="35" t="s">
        <v>166</v>
      </c>
      <c r="B412" s="13" t="s">
        <v>92</v>
      </c>
      <c r="C412" s="1" t="s">
        <v>24</v>
      </c>
      <c r="D412" s="22" t="s">
        <v>115</v>
      </c>
      <c r="E412" s="1" t="s">
        <v>120</v>
      </c>
      <c r="G412" s="36">
        <f>VLOOKUP(D412,'CSI Counts'!$B$2:$N$56,13,FALSE)</f>
        <v>191</v>
      </c>
      <c r="H412" s="47"/>
      <c r="I412" s="10">
        <v>7717.7</v>
      </c>
      <c r="J412" s="10">
        <f t="shared" si="48"/>
        <v>1474080.7</v>
      </c>
      <c r="K412" s="2">
        <f>ROUND((J412-SUM('Entitlement to Date'!E31:L31))/4,2)</f>
        <v>137539.54</v>
      </c>
      <c r="L412" s="3"/>
      <c r="M412" s="3">
        <f>ROUND(((J412*-0.03)-SUM('CSI Admin to Date'!E31:L31))/4,2)</f>
        <v>-4126.1899999999996</v>
      </c>
      <c r="N412" s="3"/>
      <c r="O412" s="5">
        <f t="shared" si="47"/>
        <v>133413.35</v>
      </c>
    </row>
    <row r="413" spans="1:15" ht="12.75" x14ac:dyDescent="0.2">
      <c r="A413" s="35" t="s">
        <v>166</v>
      </c>
      <c r="B413" s="13" t="s">
        <v>92</v>
      </c>
      <c r="C413" s="1" t="s">
        <v>24</v>
      </c>
      <c r="D413" s="22" t="s">
        <v>117</v>
      </c>
      <c r="E413" s="1" t="s">
        <v>197</v>
      </c>
      <c r="G413" s="36">
        <f>VLOOKUP(D413,'CSI Counts'!$B$2:$N$56,13,FALSE)</f>
        <v>615.6</v>
      </c>
      <c r="H413" s="47"/>
      <c r="I413" s="10">
        <v>7717.7</v>
      </c>
      <c r="J413" s="10">
        <f t="shared" si="48"/>
        <v>4751016.12</v>
      </c>
      <c r="K413" s="2">
        <f>ROUND((J413-SUM('Entitlement to Date'!E32:L32))/4,2)</f>
        <v>580357.04</v>
      </c>
      <c r="L413" s="3"/>
      <c r="M413" s="3">
        <f>ROUND(((J413*-0.03)-SUM('CSI Admin to Date'!E32:L32))/4,2)</f>
        <v>-17410.71</v>
      </c>
      <c r="N413" s="3"/>
      <c r="O413" s="5">
        <f t="shared" si="47"/>
        <v>562946.33000000007</v>
      </c>
    </row>
    <row r="414" spans="1:15" ht="12.75" x14ac:dyDescent="0.2">
      <c r="A414" s="35" t="s">
        <v>166</v>
      </c>
      <c r="B414" s="13" t="s">
        <v>92</v>
      </c>
      <c r="C414" s="1" t="s">
        <v>24</v>
      </c>
      <c r="D414" s="22" t="s">
        <v>64</v>
      </c>
      <c r="E414" s="1" t="s">
        <v>198</v>
      </c>
      <c r="G414" s="36">
        <f>VLOOKUP(D414,'CSI Counts'!$B$2:$N$56,13,FALSE)</f>
        <v>1273</v>
      </c>
      <c r="H414" s="47"/>
      <c r="I414" s="10">
        <v>7717.7</v>
      </c>
      <c r="J414" s="10">
        <f t="shared" si="48"/>
        <v>9824632.0999999996</v>
      </c>
      <c r="K414" s="2">
        <f>ROUND((J414-SUM('Entitlement to Date'!E33:L33))/4,2)</f>
        <v>826102.82</v>
      </c>
      <c r="L414" s="3"/>
      <c r="M414" s="3">
        <f>ROUND(((J414*-0.03)-SUM('CSI Admin to Date'!E33:L33))/4,2)</f>
        <v>-24783.09</v>
      </c>
      <c r="N414" s="3">
        <v>-160915</v>
      </c>
      <c r="O414" s="5">
        <f t="shared" si="47"/>
        <v>640404.73</v>
      </c>
    </row>
    <row r="415" spans="1:15" ht="12.75" x14ac:dyDescent="0.2">
      <c r="A415" s="35" t="s">
        <v>166</v>
      </c>
      <c r="B415" s="13" t="s">
        <v>92</v>
      </c>
      <c r="C415" s="1" t="s">
        <v>24</v>
      </c>
      <c r="D415" s="22" t="s">
        <v>116</v>
      </c>
      <c r="E415" s="1" t="s">
        <v>199</v>
      </c>
      <c r="G415" s="36">
        <f>VLOOKUP(D415,'CSI Counts'!$B$2:$N$56,13,FALSE)</f>
        <v>220.5</v>
      </c>
      <c r="H415" s="47"/>
      <c r="I415" s="10">
        <v>7717.7</v>
      </c>
      <c r="J415" s="10">
        <f t="shared" si="48"/>
        <v>1701752.85</v>
      </c>
      <c r="K415" s="2">
        <f>ROUND((J415-SUM('Entitlement to Date'!E34:L34))/4,2)</f>
        <v>200576.86</v>
      </c>
      <c r="L415" s="3"/>
      <c r="M415" s="3">
        <f>ROUND(((J415*-0.03)-SUM('CSI Admin to Date'!E34:L34))/4,2)</f>
        <v>-6017.31</v>
      </c>
      <c r="N415" s="3"/>
      <c r="O415" s="5">
        <f t="shared" si="47"/>
        <v>194559.55</v>
      </c>
    </row>
    <row r="416" spans="1:15" ht="12.75" x14ac:dyDescent="0.2">
      <c r="A416" s="35" t="s">
        <v>162</v>
      </c>
      <c r="B416" s="13" t="s">
        <v>93</v>
      </c>
      <c r="C416" s="5" t="s">
        <v>19</v>
      </c>
      <c r="D416" s="21" t="s">
        <v>59</v>
      </c>
      <c r="E416" s="5" t="s">
        <v>200</v>
      </c>
      <c r="G416" s="36">
        <f>VLOOKUP(D416,'CSI Counts'!$B$2:$N$56,13,FALSE)</f>
        <v>313</v>
      </c>
      <c r="H416" s="47"/>
      <c r="I416" s="10">
        <v>8251.230889337472</v>
      </c>
      <c r="J416" s="10">
        <f t="shared" si="48"/>
        <v>2582635.27</v>
      </c>
      <c r="K416" s="2">
        <f>ROUND((J416-SUM('Entitlement to Date'!E35:L35))/4,2)</f>
        <v>224699.22</v>
      </c>
      <c r="L416" s="3"/>
      <c r="M416" s="3">
        <f>ROUND(((J416*-0.03)-SUM('CSI Admin to Date'!E35:L35))/4,2)</f>
        <v>-6740.97</v>
      </c>
      <c r="N416" s="3"/>
      <c r="O416" s="5">
        <f t="shared" si="47"/>
        <v>217958.25</v>
      </c>
    </row>
    <row r="417" spans="1:15" ht="12.75" x14ac:dyDescent="0.2">
      <c r="A417" s="35" t="s">
        <v>162</v>
      </c>
      <c r="B417" s="13" t="s">
        <v>93</v>
      </c>
      <c r="C417" s="7" t="s">
        <v>19</v>
      </c>
      <c r="D417" s="22" t="s">
        <v>60</v>
      </c>
      <c r="E417" s="7" t="s">
        <v>201</v>
      </c>
      <c r="G417" s="36">
        <f>VLOOKUP(D417,'CSI Counts'!$B$2:$N$56,13,FALSE)</f>
        <v>372.6</v>
      </c>
      <c r="H417" s="47"/>
      <c r="I417" s="10">
        <v>8114.2508893374734</v>
      </c>
      <c r="J417" s="10">
        <f t="shared" si="48"/>
        <v>3023369.88</v>
      </c>
      <c r="K417" s="2">
        <f>ROUND((J417-SUM('Entitlement to Date'!E36:L36))/4,2)</f>
        <v>257246.59</v>
      </c>
      <c r="L417" s="3"/>
      <c r="M417" s="3">
        <f>ROUND(((J417*-0.03)-SUM('CSI Admin to Date'!E36:L36))/4,2)</f>
        <v>-7717.4</v>
      </c>
      <c r="N417" s="3">
        <v>-42338.759999999995</v>
      </c>
      <c r="O417" s="5">
        <f t="shared" si="47"/>
        <v>207190.43</v>
      </c>
    </row>
    <row r="418" spans="1:15" ht="12.75" x14ac:dyDescent="0.2">
      <c r="A418" s="35" t="s">
        <v>156</v>
      </c>
      <c r="B418" s="13" t="s">
        <v>94</v>
      </c>
      <c r="C418" s="5" t="s">
        <v>40</v>
      </c>
      <c r="D418" s="21" t="s">
        <v>82</v>
      </c>
      <c r="E418" s="5" t="s">
        <v>202</v>
      </c>
      <c r="G418" s="36">
        <f>VLOOKUP(D418,'CSI Counts'!$B$2:$N$56,13,FALSE)</f>
        <v>87</v>
      </c>
      <c r="H418" s="47"/>
      <c r="I418" s="10">
        <v>7781.8525457557889</v>
      </c>
      <c r="J418" s="10">
        <f t="shared" si="48"/>
        <v>677021.17</v>
      </c>
      <c r="K418" s="2">
        <f>ROUND((J418-SUM('Entitlement to Date'!E37:L37))/4,2)</f>
        <v>57330.34</v>
      </c>
      <c r="L418" s="3"/>
      <c r="M418" s="3">
        <f>ROUND(((J418*-0.03)-SUM('CSI Admin to Date'!E37:L37))/4,2)</f>
        <v>-1719.91</v>
      </c>
      <c r="N418" s="3"/>
      <c r="O418" s="5">
        <f t="shared" si="47"/>
        <v>55610.429999999993</v>
      </c>
    </row>
    <row r="419" spans="1:15" ht="12.75" x14ac:dyDescent="0.2">
      <c r="A419" s="35" t="s">
        <v>169</v>
      </c>
      <c r="B419" s="13" t="s">
        <v>95</v>
      </c>
      <c r="C419" s="5" t="s">
        <v>175</v>
      </c>
      <c r="D419" s="21" t="s">
        <v>74</v>
      </c>
      <c r="E419" s="5" t="s">
        <v>203</v>
      </c>
      <c r="G419" s="36">
        <f>VLOOKUP(D419,'CSI Counts'!$B$2:$N$56,13,FALSE)</f>
        <v>135</v>
      </c>
      <c r="H419" s="47"/>
      <c r="I419" s="10">
        <v>7996.2340453971619</v>
      </c>
      <c r="J419" s="10">
        <f t="shared" si="48"/>
        <v>1079491.6000000001</v>
      </c>
      <c r="K419" s="2">
        <f>ROUND((J419-SUM('Entitlement to Date'!E38:L38))/4,2)</f>
        <v>92861.62</v>
      </c>
      <c r="L419" s="3"/>
      <c r="M419" s="3">
        <f>ROUND(((J419*-0.03)-SUM('CSI Admin to Date'!E38:L38))/4,2)</f>
        <v>-2785.85</v>
      </c>
      <c r="N419" s="3"/>
      <c r="O419" s="5">
        <f t="shared" si="47"/>
        <v>90075.76999999999</v>
      </c>
    </row>
    <row r="420" spans="1:15" ht="12.75" x14ac:dyDescent="0.2">
      <c r="A420" s="35" t="s">
        <v>152</v>
      </c>
      <c r="B420" s="13" t="s">
        <v>86</v>
      </c>
      <c r="C420" s="5" t="s">
        <v>176</v>
      </c>
      <c r="D420" s="21" t="s">
        <v>67</v>
      </c>
      <c r="E420" s="5" t="s">
        <v>204</v>
      </c>
      <c r="G420" s="36">
        <f>VLOOKUP(D420,'CSI Counts'!$B$2:$N$56,13,FALSE)</f>
        <v>473</v>
      </c>
      <c r="H420" s="47"/>
      <c r="I420" s="10">
        <v>7952.4820299164157</v>
      </c>
      <c r="J420" s="10">
        <f t="shared" si="48"/>
        <v>3761524</v>
      </c>
      <c r="K420" s="2">
        <f>ROUND((J420-SUM('Entitlement to Date'!E39:L39))/4,2)</f>
        <v>304854.92</v>
      </c>
      <c r="L420" s="3"/>
      <c r="M420" s="3">
        <f>ROUND(((J420*-0.03)-SUM('CSI Admin to Date'!E39:L39))/4,2)</f>
        <v>-9145.65</v>
      </c>
      <c r="N420" s="3">
        <v>-30448.01</v>
      </c>
      <c r="O420" s="5">
        <f t="shared" si="47"/>
        <v>265261.25999999995</v>
      </c>
    </row>
    <row r="421" spans="1:15" x14ac:dyDescent="0.25">
      <c r="A421" s="35" t="s">
        <v>152</v>
      </c>
      <c r="B421" s="13" t="s">
        <v>86</v>
      </c>
      <c r="C421" s="6" t="s">
        <v>176</v>
      </c>
      <c r="D421" t="s">
        <v>47</v>
      </c>
      <c r="E421" s="6" t="s">
        <v>205</v>
      </c>
      <c r="G421" s="36">
        <f>VLOOKUP(D421,'CSI Counts'!$B$2:$N$56,13,FALSE)</f>
        <v>284</v>
      </c>
      <c r="H421" s="47"/>
      <c r="I421" s="10">
        <v>8151.2020299164169</v>
      </c>
      <c r="J421" s="10">
        <f t="shared" si="48"/>
        <v>2314941.38</v>
      </c>
      <c r="K421" s="2">
        <f>ROUND((J421-SUM('Entitlement to Date'!E40:L40))/4,2)</f>
        <v>176933.52</v>
      </c>
      <c r="L421" s="3"/>
      <c r="M421" s="3">
        <f>ROUND(((J421*-0.03)-SUM('CSI Admin to Date'!E40:L40))/4,2)</f>
        <v>-5308</v>
      </c>
      <c r="N421" s="3">
        <v>-42638.53</v>
      </c>
      <c r="O421" s="5">
        <f t="shared" si="47"/>
        <v>128986.98999999999</v>
      </c>
    </row>
    <row r="422" spans="1:15" x14ac:dyDescent="0.25">
      <c r="A422" s="35" t="s">
        <v>152</v>
      </c>
      <c r="B422" s="13" t="s">
        <v>86</v>
      </c>
      <c r="C422" s="8" t="s">
        <v>176</v>
      </c>
      <c r="D422" t="s">
        <v>48</v>
      </c>
      <c r="E422" s="8" t="s">
        <v>206</v>
      </c>
      <c r="G422" s="36">
        <f>VLOOKUP(D422,'CSI Counts'!$B$2:$N$56,13,FALSE)</f>
        <v>249</v>
      </c>
      <c r="H422" s="9"/>
      <c r="I422" s="10">
        <v>8226.0120299164173</v>
      </c>
      <c r="J422" s="10">
        <f t="shared" si="48"/>
        <v>2048277</v>
      </c>
      <c r="K422" s="2">
        <f>ROUND((J422-SUM('Entitlement to Date'!E41:L41))/4,2)</f>
        <v>165221.85999999999</v>
      </c>
      <c r="L422" s="3"/>
      <c r="M422" s="3">
        <f>ROUND(((J422*-0.03)-SUM('CSI Admin to Date'!E41:L41))/4,2)</f>
        <v>-4956.66</v>
      </c>
      <c r="N422" s="3"/>
      <c r="O422" s="5">
        <f t="shared" si="47"/>
        <v>160265.19999999998</v>
      </c>
    </row>
    <row r="423" spans="1:15" x14ac:dyDescent="0.25">
      <c r="G423" s="9"/>
      <c r="H423" s="9"/>
      <c r="I423" s="6"/>
      <c r="J423" s="6"/>
      <c r="K423" s="6"/>
      <c r="L423" s="6"/>
      <c r="M423" s="6"/>
      <c r="N423" s="6"/>
      <c r="O423" s="6"/>
    </row>
    <row r="424" spans="1:15" x14ac:dyDescent="0.25">
      <c r="A424" s="48" t="s">
        <v>216</v>
      </c>
      <c r="C424" s="49">
        <v>7447.44</v>
      </c>
      <c r="G424" s="16">
        <f>SUM(G383:G423)</f>
        <v>19528.399999999998</v>
      </c>
      <c r="H424" s="9">
        <f>SUM(H383:H422)</f>
        <v>5</v>
      </c>
      <c r="I424" s="16"/>
      <c r="J424" s="16">
        <f t="shared" ref="J424:O424" si="49">SUM(J383:J422)</f>
        <v>154860644.56999996</v>
      </c>
      <c r="K424" s="16">
        <f t="shared" si="49"/>
        <v>13346644.809999993</v>
      </c>
      <c r="L424" s="16">
        <f t="shared" si="49"/>
        <v>0</v>
      </c>
      <c r="M424" s="3">
        <f t="shared" si="49"/>
        <v>-400399.35000000003</v>
      </c>
      <c r="N424" s="3">
        <f t="shared" si="49"/>
        <v>-1379703.9600000002</v>
      </c>
      <c r="O424" s="16">
        <f t="shared" si="49"/>
        <v>11566541.500000002</v>
      </c>
    </row>
    <row r="427" spans="1:15" ht="12.75" x14ac:dyDescent="0.2">
      <c r="A427" s="17" t="s">
        <v>170</v>
      </c>
      <c r="B427" s="17"/>
      <c r="C427" s="11"/>
      <c r="D427" s="11"/>
      <c r="E427" s="17"/>
      <c r="F427" s="19"/>
      <c r="G427" s="19"/>
      <c r="H427" s="19"/>
      <c r="I427" s="19"/>
      <c r="J427" s="19"/>
      <c r="K427" s="19"/>
      <c r="L427" s="19"/>
      <c r="M427" s="19"/>
      <c r="N427" s="19"/>
      <c r="O427" s="19"/>
    </row>
    <row r="428" spans="1:15" ht="63.75" x14ac:dyDescent="0.2">
      <c r="A428" s="20" t="s">
        <v>218</v>
      </c>
      <c r="B428" s="20"/>
      <c r="C428" s="11"/>
      <c r="D428" s="11" t="s">
        <v>38</v>
      </c>
      <c r="E428" s="17" t="s">
        <v>39</v>
      </c>
      <c r="F428" s="12"/>
      <c r="G428" s="23" t="s">
        <v>0</v>
      </c>
      <c r="H428" s="45" t="s">
        <v>215</v>
      </c>
      <c r="I428" s="23" t="s">
        <v>1</v>
      </c>
      <c r="J428" s="23" t="s">
        <v>2</v>
      </c>
      <c r="K428" s="23" t="s">
        <v>3</v>
      </c>
      <c r="L428" s="23" t="s">
        <v>4</v>
      </c>
      <c r="M428" s="23" t="s">
        <v>5</v>
      </c>
      <c r="N428" s="23" t="s">
        <v>28</v>
      </c>
      <c r="O428" s="23" t="s">
        <v>6</v>
      </c>
    </row>
    <row r="429" spans="1:15" x14ac:dyDescent="0.25">
      <c r="C429" s="6"/>
      <c r="E429" s="6"/>
      <c r="F429" s="6"/>
      <c r="G429" s="14"/>
      <c r="H429" s="46"/>
      <c r="I429" s="10"/>
      <c r="J429" s="10"/>
      <c r="K429" s="10"/>
      <c r="L429" s="10"/>
      <c r="M429" s="10"/>
      <c r="N429" s="10"/>
      <c r="O429" s="5"/>
    </row>
    <row r="430" spans="1:15" ht="12.75" x14ac:dyDescent="0.2">
      <c r="A430" s="35" t="s">
        <v>142</v>
      </c>
      <c r="B430" s="13" t="s">
        <v>86</v>
      </c>
      <c r="C430" s="1" t="s">
        <v>172</v>
      </c>
      <c r="D430" s="21" t="s">
        <v>44</v>
      </c>
      <c r="E430" s="1" t="s">
        <v>177</v>
      </c>
      <c r="G430" s="36">
        <f>VLOOKUP(D430,'CSI Counts'!$B$2:$N$56,13,FALSE)</f>
        <v>1860</v>
      </c>
      <c r="H430" s="47"/>
      <c r="I430" s="10">
        <v>7777.2526171542286</v>
      </c>
      <c r="J430" s="10">
        <f>ROUND(G430*I430,2)</f>
        <v>14465689.869999999</v>
      </c>
      <c r="K430" s="2">
        <v>1227522.6499999999</v>
      </c>
      <c r="L430" s="3"/>
      <c r="M430" s="3">
        <v>-36825.68</v>
      </c>
      <c r="N430" s="3">
        <v>-120403.75</v>
      </c>
      <c r="O430" s="5">
        <f t="shared" ref="O430:O469" si="50">K430+L430+M430+N430</f>
        <v>1070293.22</v>
      </c>
    </row>
    <row r="431" spans="1:15" ht="12.75" x14ac:dyDescent="0.2">
      <c r="A431" s="35" t="s">
        <v>142</v>
      </c>
      <c r="B431" s="13" t="s">
        <v>86</v>
      </c>
      <c r="C431" s="5" t="s">
        <v>172</v>
      </c>
      <c r="D431" s="21" t="s">
        <v>68</v>
      </c>
      <c r="E431" s="5" t="s">
        <v>178</v>
      </c>
      <c r="G431" s="36">
        <f>VLOOKUP(D431,'CSI Counts'!$B$2:$N$56,13,FALSE)</f>
        <v>828.5</v>
      </c>
      <c r="H431" s="47"/>
      <c r="I431" s="10">
        <v>7910.2526171542286</v>
      </c>
      <c r="J431" s="10">
        <f>ROUND(G431*I431,2)</f>
        <v>6553644.29</v>
      </c>
      <c r="K431" s="2">
        <f>ROUND((J431-SUM('Entitlement to Date'!E3:M3))/3,2)</f>
        <v>551286.78</v>
      </c>
      <c r="L431" s="3"/>
      <c r="M431" s="3">
        <f>ROUND(((J431*-0.03)-SUM('CSI Admin to Date'!E3:M3))/3,2)</f>
        <v>-16538.599999999999</v>
      </c>
      <c r="N431" s="3"/>
      <c r="O431" s="5">
        <f t="shared" si="50"/>
        <v>534748.18000000005</v>
      </c>
    </row>
    <row r="432" spans="1:15" ht="12.75" x14ac:dyDescent="0.2">
      <c r="A432" s="35" t="s">
        <v>142</v>
      </c>
      <c r="B432" s="13" t="s">
        <v>86</v>
      </c>
      <c r="C432" s="1" t="s">
        <v>172</v>
      </c>
      <c r="D432" s="22" t="s">
        <v>146</v>
      </c>
      <c r="E432" s="1" t="s">
        <v>179</v>
      </c>
      <c r="G432" s="36">
        <f>VLOOKUP(D432,'CSI Counts'!$B$2:$N$56,13,FALSE)</f>
        <v>2107</v>
      </c>
      <c r="H432" s="47">
        <v>5</v>
      </c>
      <c r="I432" s="10">
        <v>8153.4226171542286</v>
      </c>
      <c r="J432" s="10">
        <f>ROUND((G432*I432)+(H432*C471),2)</f>
        <v>17216498.649999999</v>
      </c>
      <c r="K432" s="2">
        <f>ROUND((J432-SUM('Entitlement to Date'!E4:M4))/3,2)</f>
        <v>1551923.26</v>
      </c>
      <c r="L432" s="3"/>
      <c r="M432" s="3">
        <f>ROUND(((J432*-0.03)-SUM('CSI Admin to Date'!E4:M4))/3,2)</f>
        <v>-46557.7</v>
      </c>
      <c r="N432" s="3">
        <v>-182551.86000000002</v>
      </c>
      <c r="O432" s="5">
        <f t="shared" si="50"/>
        <v>1322813.7</v>
      </c>
    </row>
    <row r="433" spans="1:15" ht="12.75" x14ac:dyDescent="0.2">
      <c r="A433" s="35" t="s">
        <v>153</v>
      </c>
      <c r="B433" s="13" t="s">
        <v>89</v>
      </c>
      <c r="C433" s="5" t="s">
        <v>29</v>
      </c>
      <c r="D433" s="21" t="s">
        <v>80</v>
      </c>
      <c r="E433" s="5" t="s">
        <v>180</v>
      </c>
      <c r="G433" s="36">
        <f>VLOOKUP(D433,'CSI Counts'!$B$2:$N$56,13,FALSE)</f>
        <v>417.5</v>
      </c>
      <c r="H433" s="47"/>
      <c r="I433" s="10">
        <v>8245.1336297291928</v>
      </c>
      <c r="J433" s="10">
        <f t="shared" ref="J433:J469" si="51">ROUND(G433*I433,2)</f>
        <v>3442343.29</v>
      </c>
      <c r="K433" s="2">
        <f>ROUND((J433-SUM('Entitlement to Date'!E5:M5))/3,2)</f>
        <v>303602.11</v>
      </c>
      <c r="L433" s="3"/>
      <c r="M433" s="3">
        <f>ROUND(((J433*-0.03)-SUM('CSI Admin to Date'!E5:M5))/3,2)</f>
        <v>-9108.06</v>
      </c>
      <c r="N433" s="3">
        <v>-69104.3</v>
      </c>
      <c r="O433" s="5">
        <f t="shared" si="50"/>
        <v>225389.75</v>
      </c>
    </row>
    <row r="434" spans="1:15" ht="12.75" x14ac:dyDescent="0.2">
      <c r="A434" s="35" t="s">
        <v>153</v>
      </c>
      <c r="B434" s="13" t="s">
        <v>89</v>
      </c>
      <c r="C434" s="5" t="s">
        <v>29</v>
      </c>
      <c r="D434" s="21" t="s">
        <v>49</v>
      </c>
      <c r="E434" s="5" t="s">
        <v>181</v>
      </c>
      <c r="G434" s="36">
        <f>VLOOKUP(D434,'CSI Counts'!$B$2:$N$56,13,FALSE)</f>
        <v>289</v>
      </c>
      <c r="H434" s="47"/>
      <c r="I434" s="10">
        <v>8315.3036297291928</v>
      </c>
      <c r="J434" s="10">
        <f t="shared" si="51"/>
        <v>2403122.75</v>
      </c>
      <c r="K434" s="2">
        <f>ROUND((J434-SUM('Entitlement to Date'!E6:M6))/3,2)</f>
        <v>180694.62</v>
      </c>
      <c r="L434" s="3"/>
      <c r="M434" s="3">
        <f>ROUND(((J434*-0.03)-SUM('CSI Admin to Date'!E6:M6))/3,2)</f>
        <v>-5420.84</v>
      </c>
      <c r="N434" s="3"/>
      <c r="O434" s="5">
        <f t="shared" si="50"/>
        <v>175273.78</v>
      </c>
    </row>
    <row r="435" spans="1:15" ht="12.75" x14ac:dyDescent="0.2">
      <c r="A435" s="34" t="s">
        <v>153</v>
      </c>
      <c r="B435" s="13" t="s">
        <v>89</v>
      </c>
      <c r="C435" s="5" t="s">
        <v>29</v>
      </c>
      <c r="D435" s="21" t="s">
        <v>50</v>
      </c>
      <c r="E435" s="5" t="s">
        <v>182</v>
      </c>
      <c r="F435" s="15"/>
      <c r="G435" s="36">
        <f>VLOOKUP(D435,'CSI Counts'!$B$2:$N$56,13,FALSE)</f>
        <v>170</v>
      </c>
      <c r="H435" s="47"/>
      <c r="I435" s="10">
        <v>8913.4836297291931</v>
      </c>
      <c r="J435" s="10">
        <f t="shared" si="51"/>
        <v>1515292.22</v>
      </c>
      <c r="K435" s="2">
        <f>ROUND((J435-SUM('Entitlement to Date'!E7:M7))/3,2)</f>
        <v>79407.59</v>
      </c>
      <c r="L435" s="3"/>
      <c r="M435" s="3">
        <f>ROUND(((J435*-0.03)-SUM('CSI Admin to Date'!E7:M7))/3,2)</f>
        <v>-2382.23</v>
      </c>
      <c r="N435" s="3"/>
      <c r="O435" s="5">
        <f t="shared" si="50"/>
        <v>77025.36</v>
      </c>
    </row>
    <row r="436" spans="1:15" ht="12.75" x14ac:dyDescent="0.2">
      <c r="A436" s="34" t="s">
        <v>153</v>
      </c>
      <c r="B436" s="13" t="s">
        <v>89</v>
      </c>
      <c r="C436" s="5" t="s">
        <v>29</v>
      </c>
      <c r="D436" s="21" t="s">
        <v>97</v>
      </c>
      <c r="E436" s="5" t="s">
        <v>183</v>
      </c>
      <c r="F436" s="15"/>
      <c r="G436" s="36">
        <f>VLOOKUP(D436,'CSI Counts'!$B$2:$N$56,13,FALSE)</f>
        <v>94</v>
      </c>
      <c r="H436" s="47"/>
      <c r="I436" s="10">
        <v>9067.0136297291938</v>
      </c>
      <c r="J436" s="10">
        <f t="shared" si="51"/>
        <v>852299.28</v>
      </c>
      <c r="K436" s="2">
        <f>ROUND((J436-SUM('Entitlement to Date'!E8:M8))/3,2)</f>
        <v>70896.899999999994</v>
      </c>
      <c r="L436" s="3"/>
      <c r="M436" s="3">
        <f>ROUND(((J436*-0.03)-SUM('CSI Admin to Date'!E8:M8))/3,2)</f>
        <v>-2126.91</v>
      </c>
      <c r="N436" s="3"/>
      <c r="O436" s="5">
        <f t="shared" si="50"/>
        <v>68769.989999999991</v>
      </c>
    </row>
    <row r="437" spans="1:15" ht="12.75" x14ac:dyDescent="0.2">
      <c r="A437" s="34" t="s">
        <v>151</v>
      </c>
      <c r="B437" s="13" t="s">
        <v>86</v>
      </c>
      <c r="C437" s="1" t="s">
        <v>85</v>
      </c>
      <c r="D437" s="22" t="s">
        <v>46</v>
      </c>
      <c r="E437" s="4" t="s">
        <v>184</v>
      </c>
      <c r="F437" s="15"/>
      <c r="G437" s="36">
        <f>VLOOKUP(D437,'CSI Counts'!$B$2:$N$56,13,FALSE)</f>
        <v>688.5</v>
      </c>
      <c r="H437" s="47"/>
      <c r="I437" s="10">
        <v>8006.7354759781902</v>
      </c>
      <c r="J437" s="10">
        <f t="shared" si="51"/>
        <v>5512637.3799999999</v>
      </c>
      <c r="K437" s="2">
        <f>ROUND((J437-SUM('Entitlement to Date'!E9:M9))/3,2)</f>
        <v>479447.09</v>
      </c>
      <c r="L437" s="3"/>
      <c r="M437" s="3">
        <f>ROUND(((J437*-0.03)-SUM('CSI Admin to Date'!E9:M9))/3,2)</f>
        <v>-14383.41</v>
      </c>
      <c r="N437" s="3">
        <v>-68610.62999999999</v>
      </c>
      <c r="O437" s="5">
        <f t="shared" si="50"/>
        <v>396453.05000000005</v>
      </c>
    </row>
    <row r="438" spans="1:15" ht="12.75" x14ac:dyDescent="0.2">
      <c r="A438" s="34" t="s">
        <v>147</v>
      </c>
      <c r="B438" s="13" t="s">
        <v>86</v>
      </c>
      <c r="C438" s="5" t="s">
        <v>8</v>
      </c>
      <c r="D438" s="21" t="s">
        <v>45</v>
      </c>
      <c r="E438" s="18" t="s">
        <v>185</v>
      </c>
      <c r="F438" s="15"/>
      <c r="G438" s="36">
        <f>VLOOKUP(D438,'CSI Counts'!$B$2:$N$56,13,FALSE)</f>
        <v>671</v>
      </c>
      <c r="H438" s="47"/>
      <c r="I438" s="10">
        <v>8197.9955054902985</v>
      </c>
      <c r="J438" s="10">
        <f t="shared" si="51"/>
        <v>5500854.9800000004</v>
      </c>
      <c r="K438" s="2">
        <f>ROUND((J438-SUM('Entitlement to Date'!E10:M10))/3,2)</f>
        <v>413433.02</v>
      </c>
      <c r="L438" s="3"/>
      <c r="M438" s="3">
        <f>ROUND(((J438*-0.03)-SUM('CSI Admin to Date'!E10:M10))/3,2)</f>
        <v>-12402.99</v>
      </c>
      <c r="N438" s="3">
        <v>-159448.34</v>
      </c>
      <c r="O438" s="5">
        <f t="shared" si="50"/>
        <v>241581.69000000003</v>
      </c>
    </row>
    <row r="439" spans="1:15" ht="12.75" x14ac:dyDescent="0.2">
      <c r="A439" s="34" t="s">
        <v>161</v>
      </c>
      <c r="B439" s="15" t="s">
        <v>90</v>
      </c>
      <c r="C439" s="5" t="s">
        <v>15</v>
      </c>
      <c r="D439" s="21" t="s">
        <v>55</v>
      </c>
      <c r="E439" s="5" t="s">
        <v>186</v>
      </c>
      <c r="F439" s="15"/>
      <c r="G439" s="36">
        <f>VLOOKUP(D439,'CSI Counts'!$B$2:$N$56,13,FALSE)</f>
        <v>540</v>
      </c>
      <c r="H439" s="47"/>
      <c r="I439" s="10">
        <v>7717.7</v>
      </c>
      <c r="J439" s="10">
        <f t="shared" si="51"/>
        <v>4167558</v>
      </c>
      <c r="K439" s="2">
        <f>ROUND((J439-SUM('Entitlement to Date'!E11:M11))/3,2)</f>
        <v>341737.22</v>
      </c>
      <c r="L439" s="3"/>
      <c r="M439" s="3">
        <f>ROUND(((J439*-0.03)-SUM('CSI Admin to Date'!E11:M11))/3,2)</f>
        <v>-10252.11</v>
      </c>
      <c r="N439" s="3">
        <v>-146415.41999999998</v>
      </c>
      <c r="O439" s="5">
        <f t="shared" si="50"/>
        <v>185069.69</v>
      </c>
    </row>
    <row r="440" spans="1:15" ht="12.75" x14ac:dyDescent="0.2">
      <c r="A440" s="34" t="s">
        <v>161</v>
      </c>
      <c r="B440" s="15" t="s">
        <v>90</v>
      </c>
      <c r="C440" s="5" t="s">
        <v>15</v>
      </c>
      <c r="D440" s="21" t="s">
        <v>56</v>
      </c>
      <c r="E440" s="5" t="s">
        <v>187</v>
      </c>
      <c r="F440" s="15"/>
      <c r="G440" s="36">
        <f>VLOOKUP(D440,'CSI Counts'!$B$2:$N$56,13,FALSE)</f>
        <v>248.5</v>
      </c>
      <c r="H440" s="47"/>
      <c r="I440" s="10">
        <v>7799.3827853852417</v>
      </c>
      <c r="J440" s="10">
        <f t="shared" si="51"/>
        <v>1938146.62</v>
      </c>
      <c r="K440" s="2">
        <f>ROUND((J440-SUM('Entitlement to Date'!E12:M12))/3,2)</f>
        <v>166987.04999999999</v>
      </c>
      <c r="L440" s="3"/>
      <c r="M440" s="3">
        <f>ROUND(((J440*-0.03)-SUM('CSI Admin to Date'!E12:M12))/3,2)</f>
        <v>-5009.6099999999997</v>
      </c>
      <c r="N440" s="3"/>
      <c r="O440" s="5">
        <f t="shared" si="50"/>
        <v>161977.44</v>
      </c>
    </row>
    <row r="441" spans="1:15" ht="12.75" x14ac:dyDescent="0.2">
      <c r="A441" s="34" t="s">
        <v>161</v>
      </c>
      <c r="B441" s="15" t="s">
        <v>90</v>
      </c>
      <c r="C441" s="1" t="s">
        <v>15</v>
      </c>
      <c r="D441" s="22" t="s">
        <v>79</v>
      </c>
      <c r="E441" s="1" t="s">
        <v>77</v>
      </c>
      <c r="F441" s="15"/>
      <c r="G441" s="36">
        <f>VLOOKUP(D441,'CSI Counts'!$B$2:$N$56,13,FALSE)</f>
        <v>630.5</v>
      </c>
      <c r="H441" s="47"/>
      <c r="I441" s="10">
        <v>7835.5727853852422</v>
      </c>
      <c r="J441" s="10">
        <f t="shared" si="51"/>
        <v>4940328.6399999997</v>
      </c>
      <c r="K441" s="2">
        <f>ROUND((J441-SUM('Entitlement to Date'!E13:M13))/3,2)</f>
        <v>434705.71</v>
      </c>
      <c r="L441" s="3"/>
      <c r="M441" s="3">
        <f>ROUND(((J441*-0.03)-SUM('CSI Admin to Date'!E13:M13))/3,2)</f>
        <v>-13041.17</v>
      </c>
      <c r="N441" s="3"/>
      <c r="O441" s="5">
        <f t="shared" si="50"/>
        <v>421664.54000000004</v>
      </c>
    </row>
    <row r="442" spans="1:15" ht="12.75" x14ac:dyDescent="0.2">
      <c r="A442" s="34" t="s">
        <v>161</v>
      </c>
      <c r="B442" s="15" t="s">
        <v>90</v>
      </c>
      <c r="C442" s="1" t="s">
        <v>15</v>
      </c>
      <c r="D442" s="22" t="s">
        <v>54</v>
      </c>
      <c r="E442" s="1" t="s">
        <v>17</v>
      </c>
      <c r="F442" s="15"/>
      <c r="G442" s="36">
        <f>VLOOKUP(D442,'CSI Counts'!$B$2:$N$56,13,FALSE)</f>
        <v>382</v>
      </c>
      <c r="H442" s="47"/>
      <c r="I442" s="10">
        <v>7752.5727853852422</v>
      </c>
      <c r="J442" s="10">
        <f t="shared" si="51"/>
        <v>2961482.8</v>
      </c>
      <c r="K442" s="2">
        <f>ROUND((J442-SUM('Entitlement to Date'!E14:M14))/3,2)</f>
        <v>236785.39</v>
      </c>
      <c r="L442" s="3"/>
      <c r="M442" s="3">
        <f>ROUND(((J442*-0.03)-SUM('CSI Admin to Date'!E14:M14))/3,2)</f>
        <v>-7103.56</v>
      </c>
      <c r="N442" s="3">
        <v>-42500</v>
      </c>
      <c r="O442" s="5">
        <f t="shared" si="50"/>
        <v>187181.83000000002</v>
      </c>
    </row>
    <row r="443" spans="1:15" ht="12.75" x14ac:dyDescent="0.2">
      <c r="A443" s="34" t="s">
        <v>161</v>
      </c>
      <c r="B443" s="15" t="s">
        <v>90</v>
      </c>
      <c r="C443" s="1" t="s">
        <v>15</v>
      </c>
      <c r="D443" s="22" t="s">
        <v>114</v>
      </c>
      <c r="E443" s="1" t="s">
        <v>124</v>
      </c>
      <c r="F443" s="15"/>
      <c r="G443" s="36">
        <f>VLOOKUP(D443,'CSI Counts'!$B$2:$N$56,13,FALSE)</f>
        <v>224</v>
      </c>
      <c r="H443" s="47"/>
      <c r="I443" s="10">
        <v>8073.3527853852429</v>
      </c>
      <c r="J443" s="10">
        <f t="shared" si="51"/>
        <v>1808431.02</v>
      </c>
      <c r="K443" s="2">
        <f>ROUND((J443-SUM('Entitlement to Date'!E15:M15))/3,2)</f>
        <v>170419.45</v>
      </c>
      <c r="L443" s="3"/>
      <c r="M443" s="3">
        <f>ROUND(((J443*-0.03)-SUM('CSI Admin to Date'!E15:M15))/3,2)</f>
        <v>-5112.58</v>
      </c>
      <c r="N443" s="3"/>
      <c r="O443" s="5">
        <f t="shared" si="50"/>
        <v>165306.87000000002</v>
      </c>
    </row>
    <row r="444" spans="1:15" ht="12.75" x14ac:dyDescent="0.2">
      <c r="A444" s="34" t="s">
        <v>161</v>
      </c>
      <c r="B444" s="15" t="s">
        <v>90</v>
      </c>
      <c r="C444" s="1" t="s">
        <v>15</v>
      </c>
      <c r="D444" s="22" t="s">
        <v>118</v>
      </c>
      <c r="E444" s="4" t="s">
        <v>119</v>
      </c>
      <c r="G444" s="36">
        <f>VLOOKUP(D444,'CSI Counts'!$B$2:$N$56,13,FALSE)</f>
        <v>338</v>
      </c>
      <c r="H444" s="47"/>
      <c r="I444" s="10">
        <v>8172.7027853852414</v>
      </c>
      <c r="J444" s="10">
        <f t="shared" si="51"/>
        <v>2762373.54</v>
      </c>
      <c r="K444" s="2">
        <f>ROUND((J444-SUM('Entitlement to Date'!E16:M16))/3,2)</f>
        <v>274608.36</v>
      </c>
      <c r="L444" s="3"/>
      <c r="M444" s="3">
        <f>ROUND(((J444*-0.03)-SUM('CSI Admin to Date'!E16:M16))/3,2)</f>
        <v>-8238.25</v>
      </c>
      <c r="N444" s="3"/>
      <c r="O444" s="5">
        <f t="shared" si="50"/>
        <v>266370.11</v>
      </c>
    </row>
    <row r="445" spans="1:15" ht="12.75" x14ac:dyDescent="0.2">
      <c r="A445" s="34" t="s">
        <v>161</v>
      </c>
      <c r="B445" s="15" t="s">
        <v>90</v>
      </c>
      <c r="C445" s="1" t="s">
        <v>15</v>
      </c>
      <c r="D445" s="22" t="s">
        <v>58</v>
      </c>
      <c r="E445" s="1" t="s">
        <v>188</v>
      </c>
      <c r="G445" s="36">
        <f>VLOOKUP(D445,'CSI Counts'!$B$2:$N$56,13,FALSE)</f>
        <v>304</v>
      </c>
      <c r="H445" s="47"/>
      <c r="I445" s="10">
        <v>7904.8827853852417</v>
      </c>
      <c r="J445" s="10">
        <f t="shared" si="51"/>
        <v>2403084.37</v>
      </c>
      <c r="K445" s="2">
        <f>ROUND((J445-SUM('Entitlement to Date'!E17:M17))/3,2)</f>
        <v>193872.98</v>
      </c>
      <c r="L445" s="3"/>
      <c r="M445" s="3">
        <f>ROUND(((J445*-0.03)-SUM('CSI Admin to Date'!E17:M17))/3,2)</f>
        <v>-5816.19</v>
      </c>
      <c r="N445" s="3">
        <v>-17523.79</v>
      </c>
      <c r="O445" s="5">
        <f t="shared" si="50"/>
        <v>170533</v>
      </c>
    </row>
    <row r="446" spans="1:15" ht="12.75" x14ac:dyDescent="0.2">
      <c r="A446" s="34" t="s">
        <v>161</v>
      </c>
      <c r="B446" s="15" t="s">
        <v>90</v>
      </c>
      <c r="C446" s="1" t="s">
        <v>15</v>
      </c>
      <c r="D446" s="22" t="s">
        <v>71</v>
      </c>
      <c r="E446" s="4" t="s">
        <v>70</v>
      </c>
      <c r="G446" s="36">
        <f>VLOOKUP(D446,'CSI Counts'!$B$2:$N$56,13,FALSE)</f>
        <v>58</v>
      </c>
      <c r="H446" s="47"/>
      <c r="I446" s="10">
        <v>7717.7</v>
      </c>
      <c r="J446" s="10">
        <f t="shared" si="51"/>
        <v>447626.6</v>
      </c>
      <c r="K446" s="2">
        <f>ROUND((J446-SUM('Entitlement to Date'!E18:M18))/3,2)</f>
        <v>31517</v>
      </c>
      <c r="L446" s="3"/>
      <c r="M446" s="3">
        <f>ROUND(((J446*-0.03)-SUM('CSI Admin to Date'!E18:M18))/3,2)</f>
        <v>-945.51</v>
      </c>
      <c r="N446" s="3"/>
      <c r="O446" s="5">
        <f t="shared" si="50"/>
        <v>30571.49</v>
      </c>
    </row>
    <row r="447" spans="1:15" ht="12.75" x14ac:dyDescent="0.2">
      <c r="A447" s="34" t="s">
        <v>161</v>
      </c>
      <c r="B447" s="15" t="s">
        <v>90</v>
      </c>
      <c r="C447" s="7" t="s">
        <v>15</v>
      </c>
      <c r="D447" s="21" t="s">
        <v>57</v>
      </c>
      <c r="E447" s="7" t="s">
        <v>32</v>
      </c>
      <c r="G447" s="36">
        <f>VLOOKUP(D447,'CSI Counts'!$B$2:$N$56,13,FALSE)</f>
        <v>323.8</v>
      </c>
      <c r="H447" s="47"/>
      <c r="I447" s="10">
        <v>7737.5327853852414</v>
      </c>
      <c r="J447" s="10">
        <f t="shared" si="51"/>
        <v>2505413.12</v>
      </c>
      <c r="K447" s="2">
        <f>ROUND((J447-SUM('Entitlement to Date'!E19:M19))/3,2)</f>
        <v>207055.59</v>
      </c>
      <c r="L447" s="3"/>
      <c r="M447" s="3">
        <f>ROUND(((J447*-0.03)-SUM('CSI Admin to Date'!E19:M19))/3,2)</f>
        <v>-6211.67</v>
      </c>
      <c r="N447" s="3"/>
      <c r="O447" s="5">
        <f t="shared" si="50"/>
        <v>200843.91999999998</v>
      </c>
    </row>
    <row r="448" spans="1:15" ht="12.75" x14ac:dyDescent="0.2">
      <c r="A448" s="34" t="s">
        <v>161</v>
      </c>
      <c r="B448" s="15" t="s">
        <v>90</v>
      </c>
      <c r="C448" s="1" t="s">
        <v>15</v>
      </c>
      <c r="D448" s="21" t="s">
        <v>53</v>
      </c>
      <c r="E448" s="1" t="s">
        <v>189</v>
      </c>
      <c r="G448" s="36">
        <f>VLOOKUP(D448,'CSI Counts'!$B$2:$N$56,13,FALSE)</f>
        <v>906.1</v>
      </c>
      <c r="H448" s="47"/>
      <c r="I448" s="10">
        <v>7717.7</v>
      </c>
      <c r="J448" s="10">
        <f t="shared" si="51"/>
        <v>6993007.9699999997</v>
      </c>
      <c r="K448" s="2">
        <f>ROUND((J448-SUM('Entitlement to Date'!E20:M20))/3,2)</f>
        <v>580962.73</v>
      </c>
      <c r="L448" s="3"/>
      <c r="M448" s="3">
        <f>ROUND(((J448*-0.03)-SUM('CSI Admin to Date'!E20:M20))/3,2)</f>
        <v>-17428.89</v>
      </c>
      <c r="N448" s="3">
        <v>-63601.67</v>
      </c>
      <c r="O448" s="5">
        <f t="shared" si="50"/>
        <v>499932.17</v>
      </c>
    </row>
    <row r="449" spans="1:15" ht="12.75" x14ac:dyDescent="0.2">
      <c r="A449" s="35" t="s">
        <v>157</v>
      </c>
      <c r="B449" s="13" t="s">
        <v>87</v>
      </c>
      <c r="C449" s="5" t="s">
        <v>87</v>
      </c>
      <c r="D449" s="21" t="s">
        <v>173</v>
      </c>
      <c r="E449" s="5" t="s">
        <v>190</v>
      </c>
      <c r="G449" s="36">
        <f>VLOOKUP(D449,'CSI Counts'!$B$2:$N$56,13,FALSE)</f>
        <v>591</v>
      </c>
      <c r="H449" s="47"/>
      <c r="I449" s="10">
        <v>7854.3652850554863</v>
      </c>
      <c r="J449" s="10">
        <f t="shared" si="51"/>
        <v>4641929.88</v>
      </c>
      <c r="K449" s="2">
        <f>ROUND((J449-SUM('Entitlement to Date'!E21:M21))/3,2)</f>
        <v>378773.81</v>
      </c>
      <c r="L449" s="3"/>
      <c r="M449" s="3">
        <f>ROUND(((J449*-0.03)-SUM('CSI Admin to Date'!E21:M21))/3,2)</f>
        <v>-11363.22</v>
      </c>
      <c r="N449" s="3"/>
      <c r="O449" s="5">
        <f t="shared" si="50"/>
        <v>367410.59</v>
      </c>
    </row>
    <row r="450" spans="1:15" ht="12.75" x14ac:dyDescent="0.2">
      <c r="A450" s="35" t="s">
        <v>157</v>
      </c>
      <c r="B450" s="13" t="s">
        <v>87</v>
      </c>
      <c r="C450" s="1" t="s">
        <v>87</v>
      </c>
      <c r="D450" s="22" t="s">
        <v>51</v>
      </c>
      <c r="E450" s="1" t="s">
        <v>191</v>
      </c>
      <c r="G450" s="36">
        <f>VLOOKUP(D450,'CSI Counts'!$B$2:$N$56,13,FALSE)</f>
        <v>829</v>
      </c>
      <c r="H450" s="47"/>
      <c r="I450" s="10">
        <v>7792.669148095486</v>
      </c>
      <c r="J450" s="10">
        <f t="shared" si="51"/>
        <v>6460122.7199999997</v>
      </c>
      <c r="K450" s="2">
        <f>ROUND((J450-SUM('Entitlement to Date'!E22:M22))/3,2)</f>
        <v>546631.61</v>
      </c>
      <c r="L450" s="3"/>
      <c r="M450" s="3">
        <f>ROUND(((J450*-0.03)-SUM('CSI Admin to Date'!E22:M22))/3,2)</f>
        <v>-16398.95</v>
      </c>
      <c r="N450" s="3">
        <v>-73961.25</v>
      </c>
      <c r="O450" s="5">
        <f t="shared" si="50"/>
        <v>456271.41000000003</v>
      </c>
    </row>
    <row r="451" spans="1:15" ht="12.75" x14ac:dyDescent="0.2">
      <c r="A451" s="35" t="s">
        <v>165</v>
      </c>
      <c r="B451" s="13" t="s">
        <v>91</v>
      </c>
      <c r="C451" s="7" t="s">
        <v>21</v>
      </c>
      <c r="D451" s="22" t="s">
        <v>61</v>
      </c>
      <c r="E451" s="7" t="s">
        <v>192</v>
      </c>
      <c r="G451" s="36">
        <f>VLOOKUP(D451,'CSI Counts'!$B$2:$N$56,13,FALSE)</f>
        <v>195.5</v>
      </c>
      <c r="H451" s="47"/>
      <c r="I451" s="10">
        <v>7972.0369001983618</v>
      </c>
      <c r="J451" s="10">
        <f t="shared" si="51"/>
        <v>1558533.21</v>
      </c>
      <c r="K451" s="2">
        <f>ROUND((J451-SUM('Entitlement to Date'!E23:M23))/3,2)</f>
        <v>133891.72</v>
      </c>
      <c r="L451" s="3"/>
      <c r="M451" s="3">
        <f>ROUND(((J451*-0.03)-SUM('CSI Admin to Date'!E23:M23))/3,2)</f>
        <v>-4016.76</v>
      </c>
      <c r="N451" s="3"/>
      <c r="O451" s="5">
        <f t="shared" si="50"/>
        <v>129874.96</v>
      </c>
    </row>
    <row r="452" spans="1:15" ht="12.75" x14ac:dyDescent="0.2">
      <c r="A452" s="35" t="s">
        <v>165</v>
      </c>
      <c r="B452" s="13" t="s">
        <v>91</v>
      </c>
      <c r="C452" s="5" t="s">
        <v>21</v>
      </c>
      <c r="D452" s="21" t="s">
        <v>62</v>
      </c>
      <c r="E452" s="5" t="s">
        <v>23</v>
      </c>
      <c r="G452" s="36">
        <f>VLOOKUP(D452,'CSI Counts'!$B$2:$N$56,13,FALSE)</f>
        <v>246.5</v>
      </c>
      <c r="H452" s="47"/>
      <c r="I452" s="10">
        <v>7879.916900198361</v>
      </c>
      <c r="J452" s="10">
        <f t="shared" si="51"/>
        <v>1942399.52</v>
      </c>
      <c r="K452" s="2">
        <f>ROUND((J452-SUM('Entitlement to Date'!E24:M24))/3,2)</f>
        <v>165379.07999999999</v>
      </c>
      <c r="L452" s="3"/>
      <c r="M452" s="3">
        <f>ROUND(((J452*-0.03)-SUM('CSI Admin to Date'!E24:M24))/3,2)</f>
        <v>-4961.37</v>
      </c>
      <c r="N452" s="3"/>
      <c r="O452" s="5">
        <f t="shared" si="50"/>
        <v>160417.71</v>
      </c>
    </row>
    <row r="453" spans="1:15" ht="12.75" x14ac:dyDescent="0.2">
      <c r="A453" s="35" t="s">
        <v>158</v>
      </c>
      <c r="B453" s="13" t="s">
        <v>13</v>
      </c>
      <c r="C453" s="5" t="s">
        <v>13</v>
      </c>
      <c r="D453" s="21" t="s">
        <v>52</v>
      </c>
      <c r="E453" s="5" t="s">
        <v>193</v>
      </c>
      <c r="G453" s="36">
        <f>VLOOKUP(D453,'CSI Counts'!$B$2:$N$56,13,FALSE)</f>
        <v>309</v>
      </c>
      <c r="H453" s="47"/>
      <c r="I453" s="10">
        <v>8247.0267303231503</v>
      </c>
      <c r="J453" s="10">
        <f t="shared" si="51"/>
        <v>2548331.2599999998</v>
      </c>
      <c r="K453" s="2">
        <f>ROUND((J453-SUM('Entitlement to Date'!E25:M25))/3,2)</f>
        <v>212460.43</v>
      </c>
      <c r="L453" s="3"/>
      <c r="M453" s="3">
        <f>ROUND(((J453*-0.03)-SUM('CSI Admin to Date'!E25:M25))/3,2)</f>
        <v>-6373.81</v>
      </c>
      <c r="N453" s="3"/>
      <c r="O453" s="5">
        <f t="shared" si="50"/>
        <v>206086.62</v>
      </c>
    </row>
    <row r="454" spans="1:15" ht="12.75" x14ac:dyDescent="0.2">
      <c r="A454" s="35" t="s">
        <v>164</v>
      </c>
      <c r="B454" s="13" t="s">
        <v>84</v>
      </c>
      <c r="C454" s="1" t="s">
        <v>84</v>
      </c>
      <c r="D454" s="22" t="s">
        <v>96</v>
      </c>
      <c r="E454" s="1" t="s">
        <v>83</v>
      </c>
      <c r="G454" s="36">
        <f>VLOOKUP(D454,'CSI Counts'!$B$2:$N$56,13,FALSE)</f>
        <v>695.5</v>
      </c>
      <c r="H454" s="47"/>
      <c r="I454" s="10">
        <v>7943.1782356493159</v>
      </c>
      <c r="J454" s="10">
        <f t="shared" si="51"/>
        <v>5524480.46</v>
      </c>
      <c r="K454" s="2">
        <f>ROUND((J454-SUM('Entitlement to Date'!E26:M26))/3,2)</f>
        <v>475319.2</v>
      </c>
      <c r="L454" s="3"/>
      <c r="M454" s="3">
        <f>ROUND(((J454*-0.03)-SUM('CSI Admin to Date'!E26:M26))/3,2)</f>
        <v>-14259.58</v>
      </c>
      <c r="N454" s="3">
        <v>-52246.990000000005</v>
      </c>
      <c r="O454" s="5">
        <f t="shared" si="50"/>
        <v>408812.63</v>
      </c>
    </row>
    <row r="455" spans="1:15" ht="12.75" x14ac:dyDescent="0.2">
      <c r="A455" s="35" t="s">
        <v>168</v>
      </c>
      <c r="B455" s="13" t="s">
        <v>88</v>
      </c>
      <c r="C455" s="1" t="s">
        <v>25</v>
      </c>
      <c r="D455" s="22" t="s">
        <v>65</v>
      </c>
      <c r="E455" s="1" t="s">
        <v>26</v>
      </c>
      <c r="G455" s="36">
        <f>VLOOKUP(D455,'CSI Counts'!$B$2:$N$56,13,FALSE)</f>
        <v>886.3</v>
      </c>
      <c r="H455" s="47"/>
      <c r="I455" s="10">
        <v>7717.7</v>
      </c>
      <c r="J455" s="10">
        <f t="shared" si="51"/>
        <v>6840197.5099999998</v>
      </c>
      <c r="K455" s="2">
        <f>ROUND((J455-SUM('Entitlement to Date'!E27:M27))/3,2)</f>
        <v>595494.42000000004</v>
      </c>
      <c r="L455" s="3"/>
      <c r="M455" s="3">
        <f>ROUND(((J455*-0.03)-SUM('CSI Admin to Date'!E27:M27))/3,2)</f>
        <v>-17864.830000000002</v>
      </c>
      <c r="N455" s="3">
        <v>-110255.83</v>
      </c>
      <c r="O455" s="5">
        <f t="shared" si="50"/>
        <v>467373.76000000007</v>
      </c>
    </row>
    <row r="456" spans="1:15" ht="12.75" x14ac:dyDescent="0.2">
      <c r="A456" s="35" t="s">
        <v>168</v>
      </c>
      <c r="B456" s="13" t="s">
        <v>88</v>
      </c>
      <c r="C456" s="1" t="s">
        <v>25</v>
      </c>
      <c r="D456" s="22" t="s">
        <v>81</v>
      </c>
      <c r="E456" s="1" t="s">
        <v>194</v>
      </c>
      <c r="G456" s="36">
        <f>VLOOKUP(D456,'CSI Counts'!$B$2:$N$56,13,FALSE)</f>
        <v>53</v>
      </c>
      <c r="H456" s="47"/>
      <c r="I456" s="10">
        <v>7717.7</v>
      </c>
      <c r="J456" s="10">
        <f t="shared" si="51"/>
        <v>409038.1</v>
      </c>
      <c r="K456" s="2">
        <f>ROUND((J456-SUM('Entitlement to Date'!E28:M28))/3,2)</f>
        <v>31353.32</v>
      </c>
      <c r="L456" s="3"/>
      <c r="M456" s="3">
        <f>ROUND(((J456*-0.03)-SUM('CSI Admin to Date'!E28:M28))/3,2)</f>
        <v>-940.6</v>
      </c>
      <c r="N456" s="3"/>
      <c r="O456" s="5">
        <f t="shared" si="50"/>
        <v>30412.720000000001</v>
      </c>
    </row>
    <row r="457" spans="1:15" ht="12.75" x14ac:dyDescent="0.2">
      <c r="A457" s="35" t="s">
        <v>166</v>
      </c>
      <c r="B457" s="13" t="s">
        <v>92</v>
      </c>
      <c r="C457" s="1" t="s">
        <v>24</v>
      </c>
      <c r="D457" s="22" t="s">
        <v>63</v>
      </c>
      <c r="E457" s="1" t="s">
        <v>195</v>
      </c>
      <c r="G457" s="36">
        <f>VLOOKUP(D457,'CSI Counts'!$B$2:$N$56,13,FALSE)</f>
        <v>185</v>
      </c>
      <c r="H457" s="47"/>
      <c r="I457" s="10">
        <v>7717.7</v>
      </c>
      <c r="J457" s="10">
        <f t="shared" si="51"/>
        <v>1427774.5</v>
      </c>
      <c r="K457" s="2">
        <f>ROUND((J457-SUM('Entitlement to Date'!E29:M29))/3,2)</f>
        <v>117504.94</v>
      </c>
      <c r="L457" s="3"/>
      <c r="M457" s="3">
        <f>ROUND(((J457*-0.03)-SUM('CSI Admin to Date'!E29:M29))/3,2)</f>
        <v>-3525.15</v>
      </c>
      <c r="N457" s="3"/>
      <c r="O457" s="5">
        <f t="shared" si="50"/>
        <v>113979.79000000001</v>
      </c>
    </row>
    <row r="458" spans="1:15" ht="12.75" x14ac:dyDescent="0.2">
      <c r="A458" s="35" t="s">
        <v>166</v>
      </c>
      <c r="B458" s="13" t="s">
        <v>92</v>
      </c>
      <c r="C458" s="1" t="s">
        <v>24</v>
      </c>
      <c r="D458" s="22" t="s">
        <v>174</v>
      </c>
      <c r="E458" s="1" t="s">
        <v>196</v>
      </c>
      <c r="G458" s="36">
        <f>VLOOKUP(D458,'CSI Counts'!$B$2:$N$56,13,FALSE)</f>
        <v>243.5</v>
      </c>
      <c r="H458" s="47"/>
      <c r="I458" s="10">
        <v>7717.7</v>
      </c>
      <c r="J458" s="10">
        <f t="shared" si="51"/>
        <v>1879259.95</v>
      </c>
      <c r="K458" s="2">
        <f>ROUND((J458-SUM('Entitlement to Date'!E30:M30))/3,2)</f>
        <v>169246.37</v>
      </c>
      <c r="L458" s="3"/>
      <c r="M458" s="3">
        <f>ROUND(((J458*-0.03)-SUM('CSI Admin to Date'!E30:M30))/3,2)</f>
        <v>-5077.3900000000003</v>
      </c>
      <c r="N458" s="3"/>
      <c r="O458" s="5">
        <f t="shared" si="50"/>
        <v>164168.97999999998</v>
      </c>
    </row>
    <row r="459" spans="1:15" ht="12.75" x14ac:dyDescent="0.2">
      <c r="A459" s="35" t="s">
        <v>166</v>
      </c>
      <c r="B459" s="13" t="s">
        <v>92</v>
      </c>
      <c r="C459" s="1" t="s">
        <v>24</v>
      </c>
      <c r="D459" s="22" t="s">
        <v>115</v>
      </c>
      <c r="E459" s="1" t="s">
        <v>120</v>
      </c>
      <c r="G459" s="36">
        <f>VLOOKUP(D459,'CSI Counts'!$B$2:$N$56,13,FALSE)</f>
        <v>191</v>
      </c>
      <c r="H459" s="47"/>
      <c r="I459" s="10">
        <v>7717.7</v>
      </c>
      <c r="J459" s="10">
        <f t="shared" si="51"/>
        <v>1474080.7</v>
      </c>
      <c r="K459" s="2">
        <f>ROUND((J459-SUM('Entitlement to Date'!E31:M31))/3,2)</f>
        <v>137539.54</v>
      </c>
      <c r="L459" s="3"/>
      <c r="M459" s="3">
        <f>ROUND(((J459*-0.03)-SUM('CSI Admin to Date'!E31:M31))/3,2)</f>
        <v>-4126.18</v>
      </c>
      <c r="N459" s="3"/>
      <c r="O459" s="5">
        <f t="shared" si="50"/>
        <v>133413.36000000002</v>
      </c>
    </row>
    <row r="460" spans="1:15" ht="12.75" x14ac:dyDescent="0.2">
      <c r="A460" s="35" t="s">
        <v>166</v>
      </c>
      <c r="B460" s="13" t="s">
        <v>92</v>
      </c>
      <c r="C460" s="1" t="s">
        <v>24</v>
      </c>
      <c r="D460" s="22" t="s">
        <v>117</v>
      </c>
      <c r="E460" s="1" t="s">
        <v>197</v>
      </c>
      <c r="G460" s="36">
        <f>VLOOKUP(D460,'CSI Counts'!$B$2:$N$56,13,FALSE)</f>
        <v>615.6</v>
      </c>
      <c r="H460" s="47"/>
      <c r="I460" s="10">
        <v>7717.7</v>
      </c>
      <c r="J460" s="10">
        <f t="shared" si="51"/>
        <v>4751016.12</v>
      </c>
      <c r="K460" s="2">
        <f>ROUND((J460-SUM('Entitlement to Date'!E32:M32))/3,2)</f>
        <v>580357.04</v>
      </c>
      <c r="L460" s="3"/>
      <c r="M460" s="3">
        <f>ROUND(((J460*-0.03)-SUM('CSI Admin to Date'!E32:M32))/3,2)</f>
        <v>-17410.71</v>
      </c>
      <c r="N460" s="3"/>
      <c r="O460" s="5">
        <f t="shared" si="50"/>
        <v>562946.33000000007</v>
      </c>
    </row>
    <row r="461" spans="1:15" ht="12.75" x14ac:dyDescent="0.2">
      <c r="A461" s="35" t="s">
        <v>166</v>
      </c>
      <c r="B461" s="13" t="s">
        <v>92</v>
      </c>
      <c r="C461" s="1" t="s">
        <v>24</v>
      </c>
      <c r="D461" s="22" t="s">
        <v>64</v>
      </c>
      <c r="E461" s="1" t="s">
        <v>198</v>
      </c>
      <c r="G461" s="36">
        <f>VLOOKUP(D461,'CSI Counts'!$B$2:$N$56,13,FALSE)</f>
        <v>1273</v>
      </c>
      <c r="H461" s="47"/>
      <c r="I461" s="10">
        <v>7717.7</v>
      </c>
      <c r="J461" s="10">
        <f t="shared" si="51"/>
        <v>9824632.0999999996</v>
      </c>
      <c r="K461" s="2">
        <f>ROUND((J461-SUM('Entitlement to Date'!E33:M33))/3,2)</f>
        <v>826102.82</v>
      </c>
      <c r="L461" s="3"/>
      <c r="M461" s="3">
        <f>ROUND(((J461*-0.03)-SUM('CSI Admin to Date'!E33:M33))/3,2)</f>
        <v>-24783.08</v>
      </c>
      <c r="N461" s="3">
        <v>-160915</v>
      </c>
      <c r="O461" s="5">
        <f t="shared" si="50"/>
        <v>640404.74</v>
      </c>
    </row>
    <row r="462" spans="1:15" ht="12.75" x14ac:dyDescent="0.2">
      <c r="A462" s="35" t="s">
        <v>166</v>
      </c>
      <c r="B462" s="13" t="s">
        <v>92</v>
      </c>
      <c r="C462" s="1" t="s">
        <v>24</v>
      </c>
      <c r="D462" s="22" t="s">
        <v>116</v>
      </c>
      <c r="E462" s="1" t="s">
        <v>199</v>
      </c>
      <c r="G462" s="36">
        <f>VLOOKUP(D462,'CSI Counts'!$B$2:$N$56,13,FALSE)</f>
        <v>220.5</v>
      </c>
      <c r="H462" s="47"/>
      <c r="I462" s="10">
        <v>7717.7</v>
      </c>
      <c r="J462" s="10">
        <f t="shared" si="51"/>
        <v>1701752.85</v>
      </c>
      <c r="K462" s="2">
        <f>ROUND((J462-SUM('Entitlement to Date'!E34:M34))/3,2)</f>
        <v>200576.86</v>
      </c>
      <c r="L462" s="3"/>
      <c r="M462" s="3">
        <f>ROUND(((J462*-0.03)-SUM('CSI Admin to Date'!E34:M34))/3,2)</f>
        <v>-6017.31</v>
      </c>
      <c r="N462" s="3"/>
      <c r="O462" s="5">
        <f t="shared" si="50"/>
        <v>194559.55</v>
      </c>
    </row>
    <row r="463" spans="1:15" ht="12.75" x14ac:dyDescent="0.2">
      <c r="A463" s="35" t="s">
        <v>162</v>
      </c>
      <c r="B463" s="13" t="s">
        <v>93</v>
      </c>
      <c r="C463" s="5" t="s">
        <v>19</v>
      </c>
      <c r="D463" s="21" t="s">
        <v>59</v>
      </c>
      <c r="E463" s="5" t="s">
        <v>200</v>
      </c>
      <c r="G463" s="36">
        <f>VLOOKUP(D463,'CSI Counts'!$B$2:$N$56,13,FALSE)</f>
        <v>313</v>
      </c>
      <c r="H463" s="47"/>
      <c r="I463" s="10">
        <v>8251.230889337472</v>
      </c>
      <c r="J463" s="10">
        <f t="shared" si="51"/>
        <v>2582635.27</v>
      </c>
      <c r="K463" s="2">
        <f>ROUND((J463-SUM('Entitlement to Date'!E35:M35))/3,2)</f>
        <v>224699.22</v>
      </c>
      <c r="L463" s="3"/>
      <c r="M463" s="3">
        <f>ROUND(((J463*-0.03)-SUM('CSI Admin to Date'!E35:M35))/3,2)</f>
        <v>-6740.97</v>
      </c>
      <c r="N463" s="3"/>
      <c r="O463" s="5">
        <f t="shared" si="50"/>
        <v>217958.25</v>
      </c>
    </row>
    <row r="464" spans="1:15" ht="12.75" x14ac:dyDescent="0.2">
      <c r="A464" s="35" t="s">
        <v>162</v>
      </c>
      <c r="B464" s="13" t="s">
        <v>93</v>
      </c>
      <c r="C464" s="7" t="s">
        <v>19</v>
      </c>
      <c r="D464" s="22" t="s">
        <v>60</v>
      </c>
      <c r="E464" s="7" t="s">
        <v>201</v>
      </c>
      <c r="G464" s="36">
        <f>VLOOKUP(D464,'CSI Counts'!$B$2:$N$56,13,FALSE)</f>
        <v>372.6</v>
      </c>
      <c r="H464" s="47"/>
      <c r="I464" s="10">
        <v>8114.2508893374734</v>
      </c>
      <c r="J464" s="10">
        <f t="shared" si="51"/>
        <v>3023369.88</v>
      </c>
      <c r="K464" s="2">
        <f>ROUND((J464-SUM('Entitlement to Date'!E36:M36))/3,2)</f>
        <v>257246.59</v>
      </c>
      <c r="L464" s="3"/>
      <c r="M464" s="3">
        <f>ROUND(((J464*-0.03)-SUM('CSI Admin to Date'!E36:M36))/3,2)</f>
        <v>-7717.4</v>
      </c>
      <c r="N464" s="3">
        <v>-42338.58</v>
      </c>
      <c r="O464" s="5">
        <f t="shared" si="50"/>
        <v>207190.61</v>
      </c>
    </row>
    <row r="465" spans="1:15" ht="12.75" x14ac:dyDescent="0.2">
      <c r="A465" s="35" t="s">
        <v>156</v>
      </c>
      <c r="B465" s="13" t="s">
        <v>94</v>
      </c>
      <c r="C465" s="5" t="s">
        <v>40</v>
      </c>
      <c r="D465" s="21" t="s">
        <v>82</v>
      </c>
      <c r="E465" s="5" t="s">
        <v>202</v>
      </c>
      <c r="G465" s="36">
        <f>VLOOKUP(D465,'CSI Counts'!$B$2:$N$56,13,FALSE)</f>
        <v>87</v>
      </c>
      <c r="H465" s="47"/>
      <c r="I465" s="10">
        <v>7781.8525457557889</v>
      </c>
      <c r="J465" s="10">
        <f t="shared" si="51"/>
        <v>677021.17</v>
      </c>
      <c r="K465" s="2">
        <f>ROUND((J465-SUM('Entitlement to Date'!E37:M37))/3,2)</f>
        <v>57330.33</v>
      </c>
      <c r="L465" s="3"/>
      <c r="M465" s="3">
        <f>ROUND(((J465*-0.03)-SUM('CSI Admin to Date'!E37:M37))/3,2)</f>
        <v>-1719.91</v>
      </c>
      <c r="N465" s="3"/>
      <c r="O465" s="5">
        <f t="shared" si="50"/>
        <v>55610.42</v>
      </c>
    </row>
    <row r="466" spans="1:15" ht="12.75" x14ac:dyDescent="0.2">
      <c r="A466" s="35" t="s">
        <v>169</v>
      </c>
      <c r="B466" s="13" t="s">
        <v>95</v>
      </c>
      <c r="C466" s="5" t="s">
        <v>175</v>
      </c>
      <c r="D466" s="21" t="s">
        <v>74</v>
      </c>
      <c r="E466" s="5" t="s">
        <v>203</v>
      </c>
      <c r="G466" s="36">
        <f>VLOOKUP(D466,'CSI Counts'!$B$2:$N$56,13,FALSE)</f>
        <v>135</v>
      </c>
      <c r="H466" s="47"/>
      <c r="I466" s="10">
        <v>7996.2340453971619</v>
      </c>
      <c r="J466" s="10">
        <f t="shared" si="51"/>
        <v>1079491.6000000001</v>
      </c>
      <c r="K466" s="2">
        <f>ROUND((J466-SUM('Entitlement to Date'!E38:M38))/3,2)</f>
        <v>92861.62</v>
      </c>
      <c r="L466" s="3"/>
      <c r="M466" s="3">
        <f>ROUND(((J466*-0.03)-SUM('CSI Admin to Date'!E38:M38))/3,2)</f>
        <v>-2785.85</v>
      </c>
      <c r="N466" s="3"/>
      <c r="O466" s="5">
        <f t="shared" si="50"/>
        <v>90075.76999999999</v>
      </c>
    </row>
    <row r="467" spans="1:15" ht="12.75" x14ac:dyDescent="0.2">
      <c r="A467" s="35" t="s">
        <v>152</v>
      </c>
      <c r="B467" s="13" t="s">
        <v>86</v>
      </c>
      <c r="C467" s="5" t="s">
        <v>176</v>
      </c>
      <c r="D467" s="21" t="s">
        <v>67</v>
      </c>
      <c r="E467" s="5" t="s">
        <v>204</v>
      </c>
      <c r="G467" s="36">
        <f>VLOOKUP(D467,'CSI Counts'!$B$2:$N$56,13,FALSE)</f>
        <v>473</v>
      </c>
      <c r="H467" s="47"/>
      <c r="I467" s="10">
        <v>7952.4820299164157</v>
      </c>
      <c r="J467" s="10">
        <f t="shared" si="51"/>
        <v>3761524</v>
      </c>
      <c r="K467" s="2">
        <f>ROUND((J467-SUM('Entitlement to Date'!E39:M39))/3,2)</f>
        <v>304854.92</v>
      </c>
      <c r="L467" s="3"/>
      <c r="M467" s="3">
        <f>ROUND(((J467*-0.03)-SUM('CSI Admin to Date'!E39:M39))/3,2)</f>
        <v>-9145.64</v>
      </c>
      <c r="N467" s="3">
        <v>-30408.67</v>
      </c>
      <c r="O467" s="5">
        <f t="shared" si="50"/>
        <v>265300.61</v>
      </c>
    </row>
    <row r="468" spans="1:15" x14ac:dyDescent="0.25">
      <c r="A468" s="35" t="s">
        <v>152</v>
      </c>
      <c r="B468" s="13" t="s">
        <v>86</v>
      </c>
      <c r="C468" s="6" t="s">
        <v>176</v>
      </c>
      <c r="D468" t="s">
        <v>47</v>
      </c>
      <c r="E468" s="6" t="s">
        <v>205</v>
      </c>
      <c r="G468" s="36">
        <f>VLOOKUP(D468,'CSI Counts'!$B$2:$N$56,13,FALSE)</f>
        <v>284</v>
      </c>
      <c r="H468" s="47"/>
      <c r="I468" s="10">
        <v>8151.2020299164169</v>
      </c>
      <c r="J468" s="10">
        <f t="shared" si="51"/>
        <v>2314941.38</v>
      </c>
      <c r="K468" s="2">
        <f>ROUND((J468-SUM('Entitlement to Date'!E40:M40))/3,2)</f>
        <v>176933.52</v>
      </c>
      <c r="L468" s="3"/>
      <c r="M468" s="3">
        <f>ROUND(((J468*-0.03)-SUM('CSI Admin to Date'!E40:M40))/3,2)</f>
        <v>-5308</v>
      </c>
      <c r="N468" s="3">
        <v>-42638.53</v>
      </c>
      <c r="O468" s="5">
        <f t="shared" si="50"/>
        <v>128986.98999999999</v>
      </c>
    </row>
    <row r="469" spans="1:15" x14ac:dyDescent="0.25">
      <c r="A469" s="35" t="s">
        <v>152</v>
      </c>
      <c r="B469" s="13" t="s">
        <v>86</v>
      </c>
      <c r="C469" s="8" t="s">
        <v>176</v>
      </c>
      <c r="D469" t="s">
        <v>48</v>
      </c>
      <c r="E469" s="8" t="s">
        <v>206</v>
      </c>
      <c r="G469" s="36">
        <f>VLOOKUP(D469,'CSI Counts'!$B$2:$N$56,13,FALSE)</f>
        <v>249</v>
      </c>
      <c r="H469" s="9"/>
      <c r="I469" s="10">
        <v>8226.0120299164173</v>
      </c>
      <c r="J469" s="10">
        <f t="shared" si="51"/>
        <v>2048277</v>
      </c>
      <c r="K469" s="2">
        <f>ROUND((J469-SUM('Entitlement to Date'!E41:M41))/3,2)</f>
        <v>165221.85999999999</v>
      </c>
      <c r="L469" s="3"/>
      <c r="M469" s="3">
        <f>ROUND(((J469*-0.03)-SUM('CSI Admin to Date'!E41:M41))/3,2)</f>
        <v>-4956.66</v>
      </c>
      <c r="N469" s="3"/>
      <c r="O469" s="5">
        <f t="shared" si="50"/>
        <v>160265.19999999998</v>
      </c>
    </row>
    <row r="470" spans="1:15" x14ac:dyDescent="0.25">
      <c r="G470" s="9"/>
      <c r="H470" s="9"/>
      <c r="I470" s="6"/>
      <c r="J470" s="6"/>
      <c r="K470" s="6"/>
      <c r="L470" s="6"/>
      <c r="M470" s="6"/>
      <c r="N470" s="6"/>
      <c r="O470" s="6"/>
    </row>
    <row r="471" spans="1:15" x14ac:dyDescent="0.25">
      <c r="A471" s="48" t="s">
        <v>216</v>
      </c>
      <c r="C471" s="49">
        <v>7447.44</v>
      </c>
      <c r="G471" s="16">
        <f>SUM(G430:G470)</f>
        <v>19528.399999999998</v>
      </c>
      <c r="H471" s="9">
        <f>SUM(H430:H469)</f>
        <v>5</v>
      </c>
      <c r="I471" s="16"/>
      <c r="J471" s="16">
        <f t="shared" ref="J471:O471" si="52">SUM(J430:J469)</f>
        <v>154860644.56999996</v>
      </c>
      <c r="K471" s="16">
        <f t="shared" si="52"/>
        <v>13346644.719999995</v>
      </c>
      <c r="L471" s="16">
        <f t="shared" si="52"/>
        <v>0</v>
      </c>
      <c r="M471" s="3">
        <f t="shared" si="52"/>
        <v>-400399.33</v>
      </c>
      <c r="N471" s="3">
        <f t="shared" si="52"/>
        <v>-1382924.61</v>
      </c>
      <c r="O471" s="16">
        <f t="shared" si="52"/>
        <v>11563320.779999999</v>
      </c>
    </row>
    <row r="474" spans="1:15" ht="12.75" x14ac:dyDescent="0.2">
      <c r="A474" s="17" t="s">
        <v>170</v>
      </c>
      <c r="B474" s="17"/>
      <c r="C474" s="11"/>
      <c r="D474" s="11"/>
      <c r="E474" s="17"/>
      <c r="F474" s="19"/>
      <c r="G474" s="19"/>
      <c r="H474" s="19"/>
      <c r="I474" s="19"/>
      <c r="J474" s="19"/>
      <c r="K474" s="19"/>
      <c r="L474" s="19"/>
      <c r="M474" s="19"/>
      <c r="N474" s="19"/>
      <c r="O474" s="19"/>
    </row>
    <row r="475" spans="1:15" ht="63.75" x14ac:dyDescent="0.2">
      <c r="A475" s="20" t="s">
        <v>219</v>
      </c>
      <c r="B475" s="20"/>
      <c r="C475" s="11"/>
      <c r="D475" s="11" t="s">
        <v>38</v>
      </c>
      <c r="E475" s="17" t="s">
        <v>39</v>
      </c>
      <c r="F475" s="12"/>
      <c r="G475" s="23" t="s">
        <v>0</v>
      </c>
      <c r="H475" s="45" t="s">
        <v>215</v>
      </c>
      <c r="I475" s="23" t="s">
        <v>1</v>
      </c>
      <c r="J475" s="23" t="s">
        <v>2</v>
      </c>
      <c r="K475" s="23" t="s">
        <v>3</v>
      </c>
      <c r="L475" s="23" t="s">
        <v>4</v>
      </c>
      <c r="M475" s="23" t="s">
        <v>5</v>
      </c>
      <c r="N475" s="23" t="s">
        <v>28</v>
      </c>
      <c r="O475" s="23" t="s">
        <v>6</v>
      </c>
    </row>
    <row r="476" spans="1:15" x14ac:dyDescent="0.25">
      <c r="C476" s="6"/>
      <c r="E476" s="6"/>
      <c r="F476" s="6"/>
      <c r="G476" s="14"/>
      <c r="H476" s="46"/>
      <c r="I476" s="10"/>
      <c r="J476" s="10"/>
      <c r="K476" s="10"/>
      <c r="L476" s="10"/>
      <c r="M476" s="10"/>
      <c r="N476" s="10"/>
      <c r="O476" s="5"/>
    </row>
    <row r="477" spans="1:15" ht="12.75" x14ac:dyDescent="0.2">
      <c r="A477" s="35" t="s">
        <v>142</v>
      </c>
      <c r="B477" s="13" t="s">
        <v>86</v>
      </c>
      <c r="C477" s="1" t="s">
        <v>172</v>
      </c>
      <c r="D477" s="21" t="s">
        <v>44</v>
      </c>
      <c r="E477" s="1" t="s">
        <v>177</v>
      </c>
      <c r="G477" s="36">
        <f>VLOOKUP(D477,'CSI Counts'!$B$2:$N$56,13,FALSE)</f>
        <v>1860</v>
      </c>
      <c r="H477" s="47"/>
      <c r="I477" s="10">
        <v>7777.2526171542286</v>
      </c>
      <c r="J477" s="10">
        <f>ROUND(G477*I477,2)</f>
        <v>14465689.869999999</v>
      </c>
      <c r="K477" s="2">
        <f>ROUND((J477-SUM('Entitlement to Date'!E2:N2))/2,2)</f>
        <v>1234427.17</v>
      </c>
      <c r="L477" s="3"/>
      <c r="M477" s="3">
        <v>-37032.81</v>
      </c>
      <c r="N477" s="3">
        <v>-120322.5</v>
      </c>
      <c r="O477" s="5">
        <f t="shared" ref="O477:O516" si="53">K477+L477+M477+N477</f>
        <v>1077071.8599999999</v>
      </c>
    </row>
    <row r="478" spans="1:15" ht="12.75" x14ac:dyDescent="0.2">
      <c r="A478" s="35" t="s">
        <v>142</v>
      </c>
      <c r="B478" s="13" t="s">
        <v>86</v>
      </c>
      <c r="C478" s="5" t="s">
        <v>172</v>
      </c>
      <c r="D478" s="21" t="s">
        <v>68</v>
      </c>
      <c r="E478" s="5" t="s">
        <v>178</v>
      </c>
      <c r="G478" s="36">
        <f>VLOOKUP(D478,'CSI Counts'!$B$2:$N$56,13,FALSE)</f>
        <v>828.5</v>
      </c>
      <c r="H478" s="47"/>
      <c r="I478" s="10">
        <v>7910.2526171542286</v>
      </c>
      <c r="J478" s="10">
        <f>ROUND(G478*I478,2)</f>
        <v>6553644.29</v>
      </c>
      <c r="K478" s="2">
        <f>ROUND((J478-SUM('Entitlement to Date'!E3:N3))/2,2)</f>
        <v>551286.78</v>
      </c>
      <c r="L478" s="3"/>
      <c r="M478" s="3">
        <f>ROUND(((J478*-0.03)-SUM('CSI Admin to Date'!E3:N3))/2,2)</f>
        <v>-16538.599999999999</v>
      </c>
      <c r="N478" s="3"/>
      <c r="O478" s="5">
        <f t="shared" si="53"/>
        <v>534748.18000000005</v>
      </c>
    </row>
    <row r="479" spans="1:15" ht="12.75" x14ac:dyDescent="0.2">
      <c r="A479" s="35" t="s">
        <v>142</v>
      </c>
      <c r="B479" s="13" t="s">
        <v>86</v>
      </c>
      <c r="C479" s="1" t="s">
        <v>172</v>
      </c>
      <c r="D479" s="22" t="s">
        <v>146</v>
      </c>
      <c r="E479" s="1" t="s">
        <v>179</v>
      </c>
      <c r="G479" s="36">
        <f>VLOOKUP(D479,'CSI Counts'!$B$2:$N$56,13,FALSE)</f>
        <v>2107</v>
      </c>
      <c r="H479" s="47">
        <v>5</v>
      </c>
      <c r="I479" s="10">
        <v>8153.4226171542286</v>
      </c>
      <c r="J479" s="10">
        <f>ROUND((G479*I479)+(H479*C518),2)</f>
        <v>17216498.649999999</v>
      </c>
      <c r="K479" s="2">
        <f>ROUND((J479-SUM('Entitlement to Date'!E4:N4))/2,2)</f>
        <v>1551923.27</v>
      </c>
      <c r="L479" s="3"/>
      <c r="M479" s="3">
        <f>ROUND(((J479*-0.03)-SUM('CSI Admin to Date'!E4:N4))/2,2)</f>
        <v>-46557.69</v>
      </c>
      <c r="N479" s="3">
        <v>-180547.34000000003</v>
      </c>
      <c r="O479" s="5">
        <f t="shared" si="53"/>
        <v>1324818.24</v>
      </c>
    </row>
    <row r="480" spans="1:15" ht="12.75" x14ac:dyDescent="0.2">
      <c r="A480" s="35" t="s">
        <v>153</v>
      </c>
      <c r="B480" s="13" t="s">
        <v>89</v>
      </c>
      <c r="C480" s="5" t="s">
        <v>29</v>
      </c>
      <c r="D480" s="21" t="s">
        <v>80</v>
      </c>
      <c r="E480" s="5" t="s">
        <v>180</v>
      </c>
      <c r="G480" s="36">
        <f>VLOOKUP(D480,'CSI Counts'!$B$2:$N$56,13,FALSE)</f>
        <v>417.5</v>
      </c>
      <c r="H480" s="47"/>
      <c r="I480" s="10">
        <v>8245.1336297291928</v>
      </c>
      <c r="J480" s="10">
        <f t="shared" ref="J480:J516" si="54">ROUND(G480*I480,2)</f>
        <v>3442343.29</v>
      </c>
      <c r="K480" s="2">
        <f>ROUND((J480-SUM('Entitlement to Date'!E5:N5))/2,2)</f>
        <v>303602.12</v>
      </c>
      <c r="L480" s="3"/>
      <c r="M480" s="3">
        <f>ROUND(((J480*-0.03)-SUM('CSI Admin to Date'!E5:N5))/2,2)</f>
        <v>-9108.06</v>
      </c>
      <c r="N480" s="3">
        <v>-69104.3</v>
      </c>
      <c r="O480" s="5">
        <f t="shared" si="53"/>
        <v>225389.76</v>
      </c>
    </row>
    <row r="481" spans="1:15" ht="12.75" x14ac:dyDescent="0.2">
      <c r="A481" s="35" t="s">
        <v>153</v>
      </c>
      <c r="B481" s="13" t="s">
        <v>89</v>
      </c>
      <c r="C481" s="5" t="s">
        <v>29</v>
      </c>
      <c r="D481" s="21" t="s">
        <v>49</v>
      </c>
      <c r="E481" s="5" t="s">
        <v>181</v>
      </c>
      <c r="G481" s="36">
        <f>VLOOKUP(D481,'CSI Counts'!$B$2:$N$56,13,FALSE)</f>
        <v>289</v>
      </c>
      <c r="H481" s="47"/>
      <c r="I481" s="10">
        <v>8315.3036297291928</v>
      </c>
      <c r="J481" s="10">
        <f t="shared" si="54"/>
        <v>2403122.75</v>
      </c>
      <c r="K481" s="2">
        <f>ROUND((J481-SUM('Entitlement to Date'!E6:N6))/2,2)</f>
        <v>180694.62</v>
      </c>
      <c r="L481" s="3"/>
      <c r="M481" s="3">
        <f>ROUND(((J481*-0.03)-SUM('CSI Admin to Date'!E6:N6))/2,2)</f>
        <v>-5420.84</v>
      </c>
      <c r="N481" s="3"/>
      <c r="O481" s="5">
        <f t="shared" si="53"/>
        <v>175273.78</v>
      </c>
    </row>
    <row r="482" spans="1:15" ht="12.75" x14ac:dyDescent="0.2">
      <c r="A482" s="34" t="s">
        <v>153</v>
      </c>
      <c r="B482" s="13" t="s">
        <v>89</v>
      </c>
      <c r="C482" s="5" t="s">
        <v>29</v>
      </c>
      <c r="D482" s="21" t="s">
        <v>50</v>
      </c>
      <c r="E482" s="5" t="s">
        <v>182</v>
      </c>
      <c r="F482" s="15"/>
      <c r="G482" s="36">
        <f>VLOOKUP(D482,'CSI Counts'!$B$2:$N$56,13,FALSE)</f>
        <v>170</v>
      </c>
      <c r="H482" s="47"/>
      <c r="I482" s="10">
        <v>8913.4836297291931</v>
      </c>
      <c r="J482" s="10">
        <f t="shared" si="54"/>
        <v>1515292.22</v>
      </c>
      <c r="K482" s="2">
        <f>ROUND((J482-SUM('Entitlement to Date'!E7:N7))/2,2)</f>
        <v>79407.58</v>
      </c>
      <c r="L482" s="3"/>
      <c r="M482" s="3">
        <f>ROUND(((J482*-0.03)-SUM('CSI Admin to Date'!E7:N7))/2,2)</f>
        <v>-2382.2199999999998</v>
      </c>
      <c r="N482" s="3"/>
      <c r="O482" s="5">
        <f t="shared" si="53"/>
        <v>77025.36</v>
      </c>
    </row>
    <row r="483" spans="1:15" ht="12.75" x14ac:dyDescent="0.2">
      <c r="A483" s="34" t="s">
        <v>153</v>
      </c>
      <c r="B483" s="13" t="s">
        <v>89</v>
      </c>
      <c r="C483" s="5" t="s">
        <v>29</v>
      </c>
      <c r="D483" s="21" t="s">
        <v>97</v>
      </c>
      <c r="E483" s="5" t="s">
        <v>183</v>
      </c>
      <c r="F483" s="15"/>
      <c r="G483" s="36">
        <f>VLOOKUP(D483,'CSI Counts'!$B$2:$N$56,13,FALSE)</f>
        <v>94</v>
      </c>
      <c r="H483" s="47"/>
      <c r="I483" s="10">
        <v>9067.0136297291938</v>
      </c>
      <c r="J483" s="10">
        <f t="shared" si="54"/>
        <v>852299.28</v>
      </c>
      <c r="K483" s="2">
        <f>ROUND((J483-SUM('Entitlement to Date'!E8:N8))/2,2)</f>
        <v>70896.91</v>
      </c>
      <c r="L483" s="3"/>
      <c r="M483" s="3">
        <f>ROUND(((J483*-0.03)-SUM('CSI Admin to Date'!E8:N8))/2,2)</f>
        <v>-2126.91</v>
      </c>
      <c r="N483" s="3"/>
      <c r="O483" s="5">
        <f t="shared" si="53"/>
        <v>68770</v>
      </c>
    </row>
    <row r="484" spans="1:15" ht="12.75" x14ac:dyDescent="0.2">
      <c r="A484" s="34" t="s">
        <v>151</v>
      </c>
      <c r="B484" s="13" t="s">
        <v>86</v>
      </c>
      <c r="C484" s="1" t="s">
        <v>85</v>
      </c>
      <c r="D484" s="22" t="s">
        <v>46</v>
      </c>
      <c r="E484" s="4" t="s">
        <v>184</v>
      </c>
      <c r="F484" s="15"/>
      <c r="G484" s="36">
        <f>VLOOKUP(D484,'CSI Counts'!$B$2:$N$56,13,FALSE)</f>
        <v>688.5</v>
      </c>
      <c r="H484" s="47"/>
      <c r="I484" s="10">
        <v>8006.7354759781902</v>
      </c>
      <c r="J484" s="10">
        <f t="shared" si="54"/>
        <v>5512637.3799999999</v>
      </c>
      <c r="K484" s="2">
        <f>ROUND((J484-SUM('Entitlement to Date'!E9:N9))/2,2)</f>
        <v>479447.1</v>
      </c>
      <c r="L484" s="3"/>
      <c r="M484" s="3">
        <f>ROUND(((J484*-0.03)-SUM('CSI Admin to Date'!E9:N9))/2,2)</f>
        <v>-14383.42</v>
      </c>
      <c r="N484" s="3">
        <v>-68610.62999999999</v>
      </c>
      <c r="O484" s="5">
        <f t="shared" si="53"/>
        <v>396453.05</v>
      </c>
    </row>
    <row r="485" spans="1:15" ht="12.75" x14ac:dyDescent="0.2">
      <c r="A485" s="34" t="s">
        <v>147</v>
      </c>
      <c r="B485" s="13" t="s">
        <v>86</v>
      </c>
      <c r="C485" s="5" t="s">
        <v>8</v>
      </c>
      <c r="D485" s="21" t="s">
        <v>45</v>
      </c>
      <c r="E485" s="18" t="s">
        <v>185</v>
      </c>
      <c r="F485" s="15"/>
      <c r="G485" s="36">
        <f>VLOOKUP(D485,'CSI Counts'!$B$2:$N$56,13,FALSE)</f>
        <v>671</v>
      </c>
      <c r="H485" s="47"/>
      <c r="I485" s="10">
        <v>8197.9955054902985</v>
      </c>
      <c r="J485" s="10">
        <f t="shared" si="54"/>
        <v>5500854.9800000004</v>
      </c>
      <c r="K485" s="2">
        <f>ROUND((J485-SUM('Entitlement to Date'!E10:N10))/2,2)</f>
        <v>413433.03</v>
      </c>
      <c r="L485" s="3"/>
      <c r="M485" s="3">
        <f>ROUND(((J485*-0.03)-SUM('CSI Admin to Date'!E10:N10))/2,2)</f>
        <v>-12402.98</v>
      </c>
      <c r="N485" s="3">
        <v>-159448.34</v>
      </c>
      <c r="O485" s="5">
        <f t="shared" si="53"/>
        <v>241581.71000000005</v>
      </c>
    </row>
    <row r="486" spans="1:15" ht="12.75" x14ac:dyDescent="0.2">
      <c r="A486" s="34" t="s">
        <v>161</v>
      </c>
      <c r="B486" s="15" t="s">
        <v>90</v>
      </c>
      <c r="C486" s="5" t="s">
        <v>15</v>
      </c>
      <c r="D486" s="21" t="s">
        <v>55</v>
      </c>
      <c r="E486" s="5" t="s">
        <v>186</v>
      </c>
      <c r="F486" s="15"/>
      <c r="G486" s="36">
        <f>VLOOKUP(D486,'CSI Counts'!$B$2:$N$56,13,FALSE)</f>
        <v>540</v>
      </c>
      <c r="H486" s="47"/>
      <c r="I486" s="10">
        <v>7717.7</v>
      </c>
      <c r="J486" s="10">
        <f t="shared" si="54"/>
        <v>4167558</v>
      </c>
      <c r="K486" s="2">
        <f>ROUND((J486-SUM('Entitlement to Date'!E11:N11))/2,2)</f>
        <v>341737.23</v>
      </c>
      <c r="L486" s="3"/>
      <c r="M486" s="3">
        <f>ROUND(((J486*-0.03)-SUM('CSI Admin to Date'!E11:N11))/2,2)</f>
        <v>-10252.120000000001</v>
      </c>
      <c r="N486" s="3">
        <v>-146415.41999999998</v>
      </c>
      <c r="O486" s="5">
        <f t="shared" si="53"/>
        <v>185069.69</v>
      </c>
    </row>
    <row r="487" spans="1:15" ht="12.75" x14ac:dyDescent="0.2">
      <c r="A487" s="34" t="s">
        <v>161</v>
      </c>
      <c r="B487" s="15" t="s">
        <v>90</v>
      </c>
      <c r="C487" s="5" t="s">
        <v>15</v>
      </c>
      <c r="D487" s="21" t="s">
        <v>56</v>
      </c>
      <c r="E487" s="5" t="s">
        <v>187</v>
      </c>
      <c r="F487" s="15"/>
      <c r="G487" s="36">
        <f>VLOOKUP(D487,'CSI Counts'!$B$2:$N$56,13,FALSE)</f>
        <v>248.5</v>
      </c>
      <c r="H487" s="47"/>
      <c r="I487" s="10">
        <v>7799.3827853852417</v>
      </c>
      <c r="J487" s="10">
        <f t="shared" si="54"/>
        <v>1938146.62</v>
      </c>
      <c r="K487" s="2">
        <f>ROUND((J487-SUM('Entitlement to Date'!E12:N12))/2,2)</f>
        <v>166987.04999999999</v>
      </c>
      <c r="L487" s="3"/>
      <c r="M487" s="3">
        <f>ROUND(((J487*-0.03)-SUM('CSI Admin to Date'!E12:N12))/2,2)</f>
        <v>-5009.6099999999997</v>
      </c>
      <c r="N487" s="3"/>
      <c r="O487" s="5">
        <f t="shared" si="53"/>
        <v>161977.44</v>
      </c>
    </row>
    <row r="488" spans="1:15" ht="12.75" x14ac:dyDescent="0.2">
      <c r="A488" s="34" t="s">
        <v>161</v>
      </c>
      <c r="B488" s="15" t="s">
        <v>90</v>
      </c>
      <c r="C488" s="1" t="s">
        <v>15</v>
      </c>
      <c r="D488" s="22" t="s">
        <v>79</v>
      </c>
      <c r="E488" s="1" t="s">
        <v>77</v>
      </c>
      <c r="F488" s="15"/>
      <c r="G488" s="36">
        <f>VLOOKUP(D488,'CSI Counts'!$B$2:$N$56,13,FALSE)</f>
        <v>630.5</v>
      </c>
      <c r="H488" s="47"/>
      <c r="I488" s="10">
        <v>7835.5727853852422</v>
      </c>
      <c r="J488" s="10">
        <f t="shared" si="54"/>
        <v>4940328.6399999997</v>
      </c>
      <c r="K488" s="2">
        <f>ROUND((J488-SUM('Entitlement to Date'!E13:N13))/2,2)</f>
        <v>434705.71</v>
      </c>
      <c r="L488" s="3"/>
      <c r="M488" s="3">
        <f>ROUND(((J488*-0.03)-SUM('CSI Admin to Date'!E13:N13))/2,2)</f>
        <v>-13041.17</v>
      </c>
      <c r="N488" s="3"/>
      <c r="O488" s="5">
        <f t="shared" si="53"/>
        <v>421664.54000000004</v>
      </c>
    </row>
    <row r="489" spans="1:15" ht="12.75" x14ac:dyDescent="0.2">
      <c r="A489" s="34" t="s">
        <v>161</v>
      </c>
      <c r="B489" s="15" t="s">
        <v>90</v>
      </c>
      <c r="C489" s="1" t="s">
        <v>15</v>
      </c>
      <c r="D489" s="22" t="s">
        <v>54</v>
      </c>
      <c r="E489" s="1" t="s">
        <v>17</v>
      </c>
      <c r="F489" s="15"/>
      <c r="G489" s="36">
        <f>VLOOKUP(D489,'CSI Counts'!$B$2:$N$56,13,FALSE)</f>
        <v>382</v>
      </c>
      <c r="H489" s="47"/>
      <c r="I489" s="10">
        <v>7752.5727853852422</v>
      </c>
      <c r="J489" s="10">
        <f t="shared" si="54"/>
        <v>2961482.8</v>
      </c>
      <c r="K489" s="2">
        <f>ROUND((J489-SUM('Entitlement to Date'!E14:N14))/2,2)</f>
        <v>236785.39</v>
      </c>
      <c r="L489" s="3"/>
      <c r="M489" s="3">
        <f>ROUND(((J489*-0.03)-SUM('CSI Admin to Date'!E14:N14))/2,2)</f>
        <v>-7103.56</v>
      </c>
      <c r="N489" s="3">
        <v>-42500</v>
      </c>
      <c r="O489" s="5">
        <f t="shared" si="53"/>
        <v>187181.83000000002</v>
      </c>
    </row>
    <row r="490" spans="1:15" ht="12.75" x14ac:dyDescent="0.2">
      <c r="A490" s="34" t="s">
        <v>161</v>
      </c>
      <c r="B490" s="15" t="s">
        <v>90</v>
      </c>
      <c r="C490" s="1" t="s">
        <v>15</v>
      </c>
      <c r="D490" s="22" t="s">
        <v>114</v>
      </c>
      <c r="E490" s="1" t="s">
        <v>124</v>
      </c>
      <c r="F490" s="15"/>
      <c r="G490" s="36">
        <f>VLOOKUP(D490,'CSI Counts'!$B$2:$N$56,13,FALSE)</f>
        <v>224</v>
      </c>
      <c r="H490" s="47"/>
      <c r="I490" s="10">
        <v>8073.3527853852429</v>
      </c>
      <c r="J490" s="10">
        <f t="shared" si="54"/>
        <v>1808431.02</v>
      </c>
      <c r="K490" s="2">
        <f>ROUND((J490-SUM('Entitlement to Date'!E15:N15))/2,2)</f>
        <v>170419.46</v>
      </c>
      <c r="L490" s="3"/>
      <c r="M490" s="3">
        <f>ROUND(((J490*-0.03)-SUM('CSI Admin to Date'!E15:N15))/2,2)</f>
        <v>-5112.59</v>
      </c>
      <c r="N490" s="3"/>
      <c r="O490" s="5">
        <f t="shared" si="53"/>
        <v>165306.87</v>
      </c>
    </row>
    <row r="491" spans="1:15" ht="12.75" x14ac:dyDescent="0.2">
      <c r="A491" s="34" t="s">
        <v>161</v>
      </c>
      <c r="B491" s="15" t="s">
        <v>90</v>
      </c>
      <c r="C491" s="1" t="s">
        <v>15</v>
      </c>
      <c r="D491" s="22" t="s">
        <v>118</v>
      </c>
      <c r="E491" s="4" t="s">
        <v>119</v>
      </c>
      <c r="G491" s="36">
        <f>VLOOKUP(D491,'CSI Counts'!$B$2:$N$56,13,FALSE)</f>
        <v>338</v>
      </c>
      <c r="H491" s="47"/>
      <c r="I491" s="10">
        <v>8172.7027853852414</v>
      </c>
      <c r="J491" s="10">
        <f t="shared" si="54"/>
        <v>2762373.54</v>
      </c>
      <c r="K491" s="2">
        <f>ROUND((J491-SUM('Entitlement to Date'!E16:N16))/2,2)</f>
        <v>274608.36</v>
      </c>
      <c r="L491" s="3"/>
      <c r="M491" s="3">
        <f>ROUND(((J491*-0.03)-SUM('CSI Admin to Date'!E16:N16))/2,2)</f>
        <v>-8238.25</v>
      </c>
      <c r="N491" s="3"/>
      <c r="O491" s="5">
        <f t="shared" si="53"/>
        <v>266370.11</v>
      </c>
    </row>
    <row r="492" spans="1:15" ht="12.75" x14ac:dyDescent="0.2">
      <c r="A492" s="34" t="s">
        <v>161</v>
      </c>
      <c r="B492" s="15" t="s">
        <v>90</v>
      </c>
      <c r="C492" s="1" t="s">
        <v>15</v>
      </c>
      <c r="D492" s="22" t="s">
        <v>58</v>
      </c>
      <c r="E492" s="1" t="s">
        <v>188</v>
      </c>
      <c r="G492" s="36">
        <f>VLOOKUP(D492,'CSI Counts'!$B$2:$N$56,13,FALSE)</f>
        <v>304</v>
      </c>
      <c r="H492" s="47"/>
      <c r="I492" s="10">
        <v>7904.8827853852417</v>
      </c>
      <c r="J492" s="10">
        <f t="shared" si="54"/>
        <v>2403084.37</v>
      </c>
      <c r="K492" s="2">
        <f>ROUND((J492-SUM('Entitlement to Date'!E17:N17))/2,2)</f>
        <v>193872.98</v>
      </c>
      <c r="L492" s="3"/>
      <c r="M492" s="3">
        <f>ROUND(((J492*-0.03)-SUM('CSI Admin to Date'!E17:N17))/2,2)</f>
        <v>-5816.19</v>
      </c>
      <c r="N492" s="3">
        <v>-17523.8</v>
      </c>
      <c r="O492" s="5">
        <f t="shared" si="53"/>
        <v>170532.99000000002</v>
      </c>
    </row>
    <row r="493" spans="1:15" ht="12.75" x14ac:dyDescent="0.2">
      <c r="A493" s="34" t="s">
        <v>161</v>
      </c>
      <c r="B493" s="15" t="s">
        <v>90</v>
      </c>
      <c r="C493" s="1" t="s">
        <v>15</v>
      </c>
      <c r="D493" s="22" t="s">
        <v>71</v>
      </c>
      <c r="E493" s="4" t="s">
        <v>70</v>
      </c>
      <c r="G493" s="36">
        <f>VLOOKUP(D493,'CSI Counts'!$B$2:$N$56,13,FALSE)</f>
        <v>58</v>
      </c>
      <c r="H493" s="47"/>
      <c r="I493" s="10">
        <v>7717.7</v>
      </c>
      <c r="J493" s="10">
        <f t="shared" si="54"/>
        <v>447626.6</v>
      </c>
      <c r="K493" s="2">
        <f>ROUND((J493-SUM('Entitlement to Date'!E18:N18))/2,2)</f>
        <v>31517.01</v>
      </c>
      <c r="L493" s="3"/>
      <c r="M493" s="3">
        <f>ROUND(((J493*-0.03)-SUM('CSI Admin to Date'!E18:N18))/2,2)</f>
        <v>-945.51</v>
      </c>
      <c r="N493" s="3"/>
      <c r="O493" s="5">
        <f t="shared" si="53"/>
        <v>30571.5</v>
      </c>
    </row>
    <row r="494" spans="1:15" ht="12.75" x14ac:dyDescent="0.2">
      <c r="A494" s="34" t="s">
        <v>161</v>
      </c>
      <c r="B494" s="15" t="s">
        <v>90</v>
      </c>
      <c r="C494" s="7" t="s">
        <v>15</v>
      </c>
      <c r="D494" s="21" t="s">
        <v>57</v>
      </c>
      <c r="E494" s="7" t="s">
        <v>32</v>
      </c>
      <c r="G494" s="36">
        <f>VLOOKUP(D494,'CSI Counts'!$B$2:$N$56,13,FALSE)</f>
        <v>323.8</v>
      </c>
      <c r="H494" s="47"/>
      <c r="I494" s="10">
        <v>7737.5327853852414</v>
      </c>
      <c r="J494" s="10">
        <f t="shared" si="54"/>
        <v>2505413.12</v>
      </c>
      <c r="K494" s="2">
        <f>ROUND((J494-SUM('Entitlement to Date'!E19:N19))/2,2)</f>
        <v>207055.59</v>
      </c>
      <c r="L494" s="3"/>
      <c r="M494" s="3">
        <f>ROUND(((J494*-0.03)-SUM('CSI Admin to Date'!E19:N19))/2,2)</f>
        <v>-6211.67</v>
      </c>
      <c r="N494" s="3"/>
      <c r="O494" s="5">
        <f t="shared" si="53"/>
        <v>200843.91999999998</v>
      </c>
    </row>
    <row r="495" spans="1:15" ht="12.75" x14ac:dyDescent="0.2">
      <c r="A495" s="34" t="s">
        <v>161</v>
      </c>
      <c r="B495" s="15" t="s">
        <v>90</v>
      </c>
      <c r="C495" s="1" t="s">
        <v>15</v>
      </c>
      <c r="D495" s="21" t="s">
        <v>53</v>
      </c>
      <c r="E495" s="1" t="s">
        <v>189</v>
      </c>
      <c r="G495" s="36">
        <f>VLOOKUP(D495,'CSI Counts'!$B$2:$N$56,13,FALSE)</f>
        <v>906.1</v>
      </c>
      <c r="H495" s="47"/>
      <c r="I495" s="10">
        <v>7717.7</v>
      </c>
      <c r="J495" s="10">
        <f t="shared" si="54"/>
        <v>6993007.9699999997</v>
      </c>
      <c r="K495" s="2">
        <f>ROUND((J495-SUM('Entitlement to Date'!E20:N20))/2,2)</f>
        <v>580962.72</v>
      </c>
      <c r="L495" s="3"/>
      <c r="M495" s="3">
        <f>ROUND(((J495*-0.03)-SUM('CSI Admin to Date'!E20:N20))/2,2)</f>
        <v>-17428.88</v>
      </c>
      <c r="N495" s="3">
        <v>-63601.65</v>
      </c>
      <c r="O495" s="5">
        <f t="shared" si="53"/>
        <v>499932.18999999994</v>
      </c>
    </row>
    <row r="496" spans="1:15" ht="12.75" x14ac:dyDescent="0.2">
      <c r="A496" s="35" t="s">
        <v>157</v>
      </c>
      <c r="B496" s="13" t="s">
        <v>87</v>
      </c>
      <c r="C496" s="5" t="s">
        <v>87</v>
      </c>
      <c r="D496" s="21" t="s">
        <v>173</v>
      </c>
      <c r="E496" s="5" t="s">
        <v>190</v>
      </c>
      <c r="G496" s="36">
        <f>VLOOKUP(D496,'CSI Counts'!$B$2:$N$56,13,FALSE)</f>
        <v>591</v>
      </c>
      <c r="H496" s="47"/>
      <c r="I496" s="10">
        <v>7854.3652850554863</v>
      </c>
      <c r="J496" s="10">
        <f t="shared" si="54"/>
        <v>4641929.88</v>
      </c>
      <c r="K496" s="2">
        <f>ROUND((J496-SUM('Entitlement to Date'!E21:N21))/2,2)</f>
        <v>378773.82</v>
      </c>
      <c r="L496" s="3"/>
      <c r="M496" s="3">
        <f>ROUND(((J496*-0.03)-SUM('CSI Admin to Date'!E21:N21))/2,2)</f>
        <v>-11363.21</v>
      </c>
      <c r="N496" s="3"/>
      <c r="O496" s="5">
        <f t="shared" si="53"/>
        <v>367410.61</v>
      </c>
    </row>
    <row r="497" spans="1:15" ht="12.75" x14ac:dyDescent="0.2">
      <c r="A497" s="35" t="s">
        <v>157</v>
      </c>
      <c r="B497" s="13" t="s">
        <v>87</v>
      </c>
      <c r="C497" s="1" t="s">
        <v>87</v>
      </c>
      <c r="D497" s="22" t="s">
        <v>51</v>
      </c>
      <c r="E497" s="1" t="s">
        <v>191</v>
      </c>
      <c r="G497" s="36">
        <f>VLOOKUP(D497,'CSI Counts'!$B$2:$N$56,13,FALSE)</f>
        <v>829</v>
      </c>
      <c r="H497" s="47"/>
      <c r="I497" s="10">
        <v>7792.669148095486</v>
      </c>
      <c r="J497" s="10">
        <f t="shared" si="54"/>
        <v>6460122.7199999997</v>
      </c>
      <c r="K497" s="2">
        <f>ROUND((J497-SUM('Entitlement to Date'!E22:N22))/2,2)</f>
        <v>546631.61</v>
      </c>
      <c r="L497" s="3"/>
      <c r="M497" s="3">
        <f>ROUND(((J497*-0.03)-SUM('CSI Admin to Date'!E22:N22))/2,2)</f>
        <v>-16398.95</v>
      </c>
      <c r="N497" s="3">
        <v>-73961.25</v>
      </c>
      <c r="O497" s="5">
        <f t="shared" si="53"/>
        <v>456271.41000000003</v>
      </c>
    </row>
    <row r="498" spans="1:15" ht="12.75" x14ac:dyDescent="0.2">
      <c r="A498" s="35" t="s">
        <v>165</v>
      </c>
      <c r="B498" s="13" t="s">
        <v>91</v>
      </c>
      <c r="C498" s="7" t="s">
        <v>21</v>
      </c>
      <c r="D498" s="22" t="s">
        <v>61</v>
      </c>
      <c r="E498" s="7" t="s">
        <v>192</v>
      </c>
      <c r="G498" s="36">
        <f>VLOOKUP(D498,'CSI Counts'!$B$2:$N$56,13,FALSE)</f>
        <v>195.5</v>
      </c>
      <c r="H498" s="47"/>
      <c r="I498" s="10">
        <v>7972.0369001983618</v>
      </c>
      <c r="J498" s="10">
        <f t="shared" si="54"/>
        <v>1558533.21</v>
      </c>
      <c r="K498" s="2">
        <f>ROUND((J498-SUM('Entitlement to Date'!E23:N23))/2,2)</f>
        <v>133891.72</v>
      </c>
      <c r="L498" s="3"/>
      <c r="M498" s="3">
        <f>ROUND(((J498*-0.03)-SUM('CSI Admin to Date'!E23:N23))/2,2)</f>
        <v>-4016.75</v>
      </c>
      <c r="N498" s="3"/>
      <c r="O498" s="5">
        <f t="shared" si="53"/>
        <v>129874.97</v>
      </c>
    </row>
    <row r="499" spans="1:15" ht="12.75" x14ac:dyDescent="0.2">
      <c r="A499" s="35" t="s">
        <v>165</v>
      </c>
      <c r="B499" s="13" t="s">
        <v>91</v>
      </c>
      <c r="C499" s="5" t="s">
        <v>21</v>
      </c>
      <c r="D499" s="21" t="s">
        <v>62</v>
      </c>
      <c r="E499" s="5" t="s">
        <v>23</v>
      </c>
      <c r="G499" s="36">
        <f>VLOOKUP(D499,'CSI Counts'!$B$2:$N$56,13,FALSE)</f>
        <v>246.5</v>
      </c>
      <c r="H499" s="47"/>
      <c r="I499" s="10">
        <v>7879.916900198361</v>
      </c>
      <c r="J499" s="10">
        <f t="shared" si="54"/>
        <v>1942399.52</v>
      </c>
      <c r="K499" s="2">
        <f>ROUND((J499-SUM('Entitlement to Date'!E24:N24))/2,2)</f>
        <v>165379.07999999999</v>
      </c>
      <c r="L499" s="3"/>
      <c r="M499" s="3">
        <f>ROUND(((J499*-0.03)-SUM('CSI Admin to Date'!E24:N24))/2,2)</f>
        <v>-4961.37</v>
      </c>
      <c r="N499" s="3"/>
      <c r="O499" s="5">
        <f t="shared" si="53"/>
        <v>160417.71</v>
      </c>
    </row>
    <row r="500" spans="1:15" ht="12.75" x14ac:dyDescent="0.2">
      <c r="A500" s="35" t="s">
        <v>158</v>
      </c>
      <c r="B500" s="13" t="s">
        <v>13</v>
      </c>
      <c r="C500" s="5" t="s">
        <v>13</v>
      </c>
      <c r="D500" s="21" t="s">
        <v>52</v>
      </c>
      <c r="E500" s="5" t="s">
        <v>193</v>
      </c>
      <c r="G500" s="36">
        <f>VLOOKUP(D500,'CSI Counts'!$B$2:$N$56,13,FALSE)</f>
        <v>309</v>
      </c>
      <c r="H500" s="47"/>
      <c r="I500" s="10">
        <v>8247.0267303231503</v>
      </c>
      <c r="J500" s="10">
        <f t="shared" si="54"/>
        <v>2548331.2599999998</v>
      </c>
      <c r="K500" s="2">
        <f>ROUND((J500-SUM('Entitlement to Date'!E25:N25))/2,2)</f>
        <v>212460.44</v>
      </c>
      <c r="L500" s="3"/>
      <c r="M500" s="3">
        <f>ROUND(((J500*-0.03)-SUM('CSI Admin to Date'!E25:N25))/2,2)</f>
        <v>-6373.81</v>
      </c>
      <c r="N500" s="3"/>
      <c r="O500" s="5">
        <f t="shared" si="53"/>
        <v>206086.63</v>
      </c>
    </row>
    <row r="501" spans="1:15" ht="12.75" x14ac:dyDescent="0.2">
      <c r="A501" s="35" t="s">
        <v>164</v>
      </c>
      <c r="B501" s="13" t="s">
        <v>84</v>
      </c>
      <c r="C501" s="1" t="s">
        <v>84</v>
      </c>
      <c r="D501" s="22" t="s">
        <v>96</v>
      </c>
      <c r="E501" s="1" t="s">
        <v>83</v>
      </c>
      <c r="G501" s="36">
        <f>VLOOKUP(D501,'CSI Counts'!$B$2:$N$56,13,FALSE)</f>
        <v>695.5</v>
      </c>
      <c r="H501" s="47"/>
      <c r="I501" s="10">
        <v>7943.1782356493159</v>
      </c>
      <c r="J501" s="10">
        <f t="shared" si="54"/>
        <v>5524480.46</v>
      </c>
      <c r="K501" s="2">
        <f>ROUND((J501-SUM('Entitlement to Date'!E26:N26))/2,2)</f>
        <v>475319.21</v>
      </c>
      <c r="L501" s="3"/>
      <c r="M501" s="3">
        <f>ROUND(((J501*-0.03)-SUM('CSI Admin to Date'!E26:N26))/2,2)</f>
        <v>-14259.58</v>
      </c>
      <c r="N501" s="3">
        <v>-52246.990000000005</v>
      </c>
      <c r="O501" s="5">
        <f t="shared" si="53"/>
        <v>408812.64</v>
      </c>
    </row>
    <row r="502" spans="1:15" ht="12.75" x14ac:dyDescent="0.2">
      <c r="A502" s="35" t="s">
        <v>168</v>
      </c>
      <c r="B502" s="13" t="s">
        <v>88</v>
      </c>
      <c r="C502" s="1" t="s">
        <v>25</v>
      </c>
      <c r="D502" s="22" t="s">
        <v>65</v>
      </c>
      <c r="E502" s="1" t="s">
        <v>26</v>
      </c>
      <c r="G502" s="36">
        <f>VLOOKUP(D502,'CSI Counts'!$B$2:$N$56,13,FALSE)</f>
        <v>886.3</v>
      </c>
      <c r="H502" s="47"/>
      <c r="I502" s="10">
        <v>7717.7</v>
      </c>
      <c r="J502" s="10">
        <f t="shared" si="54"/>
        <v>6840197.5099999998</v>
      </c>
      <c r="K502" s="2">
        <f>ROUND((J502-SUM('Entitlement to Date'!E27:N27))/2,2)</f>
        <v>595494.42000000004</v>
      </c>
      <c r="L502" s="3"/>
      <c r="M502" s="3">
        <f>ROUND(((J502*-0.03)-SUM('CSI Admin to Date'!E27:N27))/2,2)</f>
        <v>-17864.830000000002</v>
      </c>
      <c r="N502" s="3">
        <v>-110255.84</v>
      </c>
      <c r="O502" s="5">
        <f t="shared" si="53"/>
        <v>467373.75000000012</v>
      </c>
    </row>
    <row r="503" spans="1:15" ht="12.75" x14ac:dyDescent="0.2">
      <c r="A503" s="35" t="s">
        <v>168</v>
      </c>
      <c r="B503" s="13" t="s">
        <v>88</v>
      </c>
      <c r="C503" s="1" t="s">
        <v>25</v>
      </c>
      <c r="D503" s="22" t="s">
        <v>81</v>
      </c>
      <c r="E503" s="1" t="s">
        <v>194</v>
      </c>
      <c r="G503" s="36">
        <f>VLOOKUP(D503,'CSI Counts'!$B$2:$N$56,13,FALSE)</f>
        <v>53</v>
      </c>
      <c r="H503" s="47"/>
      <c r="I503" s="10">
        <v>7717.7</v>
      </c>
      <c r="J503" s="10">
        <f t="shared" si="54"/>
        <v>409038.1</v>
      </c>
      <c r="K503" s="2">
        <f>ROUND((J503-SUM('Entitlement to Date'!E28:N28))/2,2)</f>
        <v>31353.33</v>
      </c>
      <c r="L503" s="3"/>
      <c r="M503" s="3">
        <f>ROUND(((J503*-0.03)-SUM('CSI Admin to Date'!E28:N28))/2,2)</f>
        <v>-940.6</v>
      </c>
      <c r="N503" s="3"/>
      <c r="O503" s="5">
        <f t="shared" si="53"/>
        <v>30412.730000000003</v>
      </c>
    </row>
    <row r="504" spans="1:15" ht="12.75" x14ac:dyDescent="0.2">
      <c r="A504" s="35" t="s">
        <v>166</v>
      </c>
      <c r="B504" s="13" t="s">
        <v>92</v>
      </c>
      <c r="C504" s="1" t="s">
        <v>24</v>
      </c>
      <c r="D504" s="22" t="s">
        <v>63</v>
      </c>
      <c r="E504" s="1" t="s">
        <v>195</v>
      </c>
      <c r="G504" s="36">
        <f>VLOOKUP(D504,'CSI Counts'!$B$2:$N$56,13,FALSE)</f>
        <v>185</v>
      </c>
      <c r="H504" s="47"/>
      <c r="I504" s="10">
        <v>7717.7</v>
      </c>
      <c r="J504" s="10">
        <f t="shared" si="54"/>
        <v>1427774.5</v>
      </c>
      <c r="K504" s="2">
        <f>ROUND((J504-SUM('Entitlement to Date'!E29:N29))/2,2)</f>
        <v>117504.95</v>
      </c>
      <c r="L504" s="3"/>
      <c r="M504" s="3">
        <f>ROUND(((J504*-0.03)-SUM('CSI Admin to Date'!E29:N29))/2,2)</f>
        <v>-3525.14</v>
      </c>
      <c r="N504" s="3"/>
      <c r="O504" s="5">
        <f t="shared" si="53"/>
        <v>113979.81</v>
      </c>
    </row>
    <row r="505" spans="1:15" ht="12.75" x14ac:dyDescent="0.2">
      <c r="A505" s="35" t="s">
        <v>166</v>
      </c>
      <c r="B505" s="13" t="s">
        <v>92</v>
      </c>
      <c r="C505" s="1" t="s">
        <v>24</v>
      </c>
      <c r="D505" s="22" t="s">
        <v>174</v>
      </c>
      <c r="E505" s="1" t="s">
        <v>196</v>
      </c>
      <c r="G505" s="36">
        <f>VLOOKUP(D505,'CSI Counts'!$B$2:$N$56,13,FALSE)</f>
        <v>243.5</v>
      </c>
      <c r="H505" s="47"/>
      <c r="I505" s="10">
        <v>7717.7</v>
      </c>
      <c r="J505" s="10">
        <f t="shared" si="54"/>
        <v>1879259.95</v>
      </c>
      <c r="K505" s="2">
        <f>ROUND((J505-SUM('Entitlement to Date'!E30:N30))/2,2)</f>
        <v>169246.37</v>
      </c>
      <c r="L505" s="3"/>
      <c r="M505" s="3">
        <f>ROUND(((J505*-0.03)-SUM('CSI Admin to Date'!E30:N30))/2,2)</f>
        <v>-5077.3900000000003</v>
      </c>
      <c r="N505" s="3"/>
      <c r="O505" s="5">
        <f t="shared" si="53"/>
        <v>164168.97999999998</v>
      </c>
    </row>
    <row r="506" spans="1:15" ht="12.75" x14ac:dyDescent="0.2">
      <c r="A506" s="35" t="s">
        <v>166</v>
      </c>
      <c r="B506" s="13" t="s">
        <v>92</v>
      </c>
      <c r="C506" s="1" t="s">
        <v>24</v>
      </c>
      <c r="D506" s="22" t="s">
        <v>115</v>
      </c>
      <c r="E506" s="1" t="s">
        <v>120</v>
      </c>
      <c r="G506" s="36">
        <f>VLOOKUP(D506,'CSI Counts'!$B$2:$N$56,13,FALSE)</f>
        <v>191</v>
      </c>
      <c r="H506" s="47"/>
      <c r="I506" s="10">
        <v>7717.7</v>
      </c>
      <c r="J506" s="10">
        <f t="shared" si="54"/>
        <v>1474080.7</v>
      </c>
      <c r="K506" s="2">
        <f>ROUND((J506-SUM('Entitlement to Date'!E31:N31))/2,2)</f>
        <v>137539.54</v>
      </c>
      <c r="L506" s="3"/>
      <c r="M506" s="3">
        <f>ROUND(((J506*-0.03)-SUM('CSI Admin to Date'!E31:N31))/2,2)</f>
        <v>-4126.1899999999996</v>
      </c>
      <c r="N506" s="3"/>
      <c r="O506" s="5">
        <f t="shared" si="53"/>
        <v>133413.35</v>
      </c>
    </row>
    <row r="507" spans="1:15" ht="12.75" x14ac:dyDescent="0.2">
      <c r="A507" s="35" t="s">
        <v>166</v>
      </c>
      <c r="B507" s="13" t="s">
        <v>92</v>
      </c>
      <c r="C507" s="1" t="s">
        <v>24</v>
      </c>
      <c r="D507" s="22" t="s">
        <v>117</v>
      </c>
      <c r="E507" s="1" t="s">
        <v>197</v>
      </c>
      <c r="G507" s="36">
        <f>VLOOKUP(D507,'CSI Counts'!$B$2:$N$56,13,FALSE)</f>
        <v>615.6</v>
      </c>
      <c r="H507" s="47"/>
      <c r="I507" s="10">
        <v>7717.7</v>
      </c>
      <c r="J507" s="10">
        <f t="shared" si="54"/>
        <v>4751016.12</v>
      </c>
      <c r="K507" s="2">
        <f>ROUND((J507-SUM('Entitlement to Date'!E32:N32))/2,2)</f>
        <v>580357.04</v>
      </c>
      <c r="L507" s="3"/>
      <c r="M507" s="3">
        <f>ROUND(((J507*-0.03)-SUM('CSI Admin to Date'!E32:N32))/2,2)</f>
        <v>-17410.72</v>
      </c>
      <c r="N507" s="3"/>
      <c r="O507" s="5">
        <f t="shared" si="53"/>
        <v>562946.32000000007</v>
      </c>
    </row>
    <row r="508" spans="1:15" ht="12.75" x14ac:dyDescent="0.2">
      <c r="A508" s="35" t="s">
        <v>166</v>
      </c>
      <c r="B508" s="13" t="s">
        <v>92</v>
      </c>
      <c r="C508" s="1" t="s">
        <v>24</v>
      </c>
      <c r="D508" s="22" t="s">
        <v>64</v>
      </c>
      <c r="E508" s="1" t="s">
        <v>198</v>
      </c>
      <c r="G508" s="36">
        <f>VLOOKUP(D508,'CSI Counts'!$B$2:$N$56,13,FALSE)</f>
        <v>1273</v>
      </c>
      <c r="H508" s="47"/>
      <c r="I508" s="10">
        <v>7717.7</v>
      </c>
      <c r="J508" s="10">
        <f t="shared" si="54"/>
        <v>9824632.0999999996</v>
      </c>
      <c r="K508" s="2">
        <f>ROUND((J508-SUM('Entitlement to Date'!E33:N33))/2,2)</f>
        <v>826102.81</v>
      </c>
      <c r="L508" s="3"/>
      <c r="M508" s="3">
        <f>ROUND(((J508*-0.03)-SUM('CSI Admin to Date'!E33:N33))/2,2)</f>
        <v>-24783.09</v>
      </c>
      <c r="N508" s="3">
        <v>-160915</v>
      </c>
      <c r="O508" s="5">
        <f t="shared" si="53"/>
        <v>640404.72000000009</v>
      </c>
    </row>
    <row r="509" spans="1:15" ht="12.75" x14ac:dyDescent="0.2">
      <c r="A509" s="35" t="s">
        <v>166</v>
      </c>
      <c r="B509" s="13" t="s">
        <v>92</v>
      </c>
      <c r="C509" s="1" t="s">
        <v>24</v>
      </c>
      <c r="D509" s="22" t="s">
        <v>116</v>
      </c>
      <c r="E509" s="1" t="s">
        <v>199</v>
      </c>
      <c r="G509" s="36">
        <f>VLOOKUP(D509,'CSI Counts'!$B$2:$N$56,13,FALSE)</f>
        <v>220.5</v>
      </c>
      <c r="H509" s="47"/>
      <c r="I509" s="10">
        <v>7717.7</v>
      </c>
      <c r="J509" s="10">
        <f t="shared" si="54"/>
        <v>1701752.85</v>
      </c>
      <c r="K509" s="2">
        <f>ROUND((J509-SUM('Entitlement to Date'!E34:N34))/2,2)</f>
        <v>200576.87</v>
      </c>
      <c r="L509" s="3"/>
      <c r="M509" s="3">
        <f>ROUND(((J509*-0.03)-SUM('CSI Admin to Date'!E34:N34))/2,2)</f>
        <v>-6017.3</v>
      </c>
      <c r="N509" s="3"/>
      <c r="O509" s="5">
        <f t="shared" si="53"/>
        <v>194559.57</v>
      </c>
    </row>
    <row r="510" spans="1:15" ht="12.75" x14ac:dyDescent="0.2">
      <c r="A510" s="35" t="s">
        <v>162</v>
      </c>
      <c r="B510" s="13" t="s">
        <v>93</v>
      </c>
      <c r="C510" s="5" t="s">
        <v>19</v>
      </c>
      <c r="D510" s="21" t="s">
        <v>59</v>
      </c>
      <c r="E510" s="5" t="s">
        <v>200</v>
      </c>
      <c r="G510" s="36">
        <f>VLOOKUP(D510,'CSI Counts'!$B$2:$N$56,13,FALSE)</f>
        <v>313</v>
      </c>
      <c r="H510" s="47"/>
      <c r="I510" s="10">
        <v>8251.230889337472</v>
      </c>
      <c r="J510" s="10">
        <f t="shared" si="54"/>
        <v>2582635.27</v>
      </c>
      <c r="K510" s="2">
        <f>ROUND((J510-SUM('Entitlement to Date'!E35:N35))/2,2)</f>
        <v>224699.22</v>
      </c>
      <c r="L510" s="3"/>
      <c r="M510" s="3">
        <f>ROUND(((J510*-0.03)-SUM('CSI Admin to Date'!E35:N35))/2,2)</f>
        <v>-6740.97</v>
      </c>
      <c r="N510" s="3"/>
      <c r="O510" s="5">
        <f t="shared" si="53"/>
        <v>217958.25</v>
      </c>
    </row>
    <row r="511" spans="1:15" ht="12.75" x14ac:dyDescent="0.2">
      <c r="A511" s="35" t="s">
        <v>162</v>
      </c>
      <c r="B511" s="13" t="s">
        <v>93</v>
      </c>
      <c r="C511" s="7" t="s">
        <v>19</v>
      </c>
      <c r="D511" s="22" t="s">
        <v>60</v>
      </c>
      <c r="E511" s="7" t="s">
        <v>201</v>
      </c>
      <c r="G511" s="36">
        <f>VLOOKUP(D511,'CSI Counts'!$B$2:$N$56,13,FALSE)</f>
        <v>372.6</v>
      </c>
      <c r="H511" s="47"/>
      <c r="I511" s="10">
        <v>8114.2508893374734</v>
      </c>
      <c r="J511" s="10">
        <f t="shared" si="54"/>
        <v>3023369.88</v>
      </c>
      <c r="K511" s="2">
        <f>ROUND((J511-SUM('Entitlement to Date'!E36:N36))/2,2)</f>
        <v>257246.59</v>
      </c>
      <c r="L511" s="3"/>
      <c r="M511" s="3">
        <f>ROUND(((J511*-0.03)-SUM('CSI Admin to Date'!E36:N36))/2,2)</f>
        <v>-7717.4</v>
      </c>
      <c r="N511" s="3">
        <v>-42338.3</v>
      </c>
      <c r="O511" s="5">
        <f t="shared" si="53"/>
        <v>207190.89</v>
      </c>
    </row>
    <row r="512" spans="1:15" ht="12.75" x14ac:dyDescent="0.2">
      <c r="A512" s="35" t="s">
        <v>156</v>
      </c>
      <c r="B512" s="13" t="s">
        <v>94</v>
      </c>
      <c r="C512" s="5" t="s">
        <v>40</v>
      </c>
      <c r="D512" s="21" t="s">
        <v>82</v>
      </c>
      <c r="E512" s="5" t="s">
        <v>202</v>
      </c>
      <c r="G512" s="36">
        <f>VLOOKUP(D512,'CSI Counts'!$B$2:$N$56,13,FALSE)</f>
        <v>87</v>
      </c>
      <c r="H512" s="47"/>
      <c r="I512" s="10">
        <v>7781.8525457557889</v>
      </c>
      <c r="J512" s="10">
        <f t="shared" si="54"/>
        <v>677021.17</v>
      </c>
      <c r="K512" s="2">
        <f>ROUND((J512-SUM('Entitlement to Date'!E37:N37))/2,2)</f>
        <v>57330.34</v>
      </c>
      <c r="L512" s="3"/>
      <c r="M512" s="3">
        <f>ROUND(((J512*-0.03)-SUM('CSI Admin to Date'!E37:N37))/2,2)</f>
        <v>-1719.9</v>
      </c>
      <c r="N512" s="3"/>
      <c r="O512" s="5">
        <f t="shared" si="53"/>
        <v>55610.439999999995</v>
      </c>
    </row>
    <row r="513" spans="1:15" ht="12.75" x14ac:dyDescent="0.2">
      <c r="A513" s="35" t="s">
        <v>169</v>
      </c>
      <c r="B513" s="13" t="s">
        <v>95</v>
      </c>
      <c r="C513" s="5" t="s">
        <v>175</v>
      </c>
      <c r="D513" s="21" t="s">
        <v>74</v>
      </c>
      <c r="E513" s="5" t="s">
        <v>203</v>
      </c>
      <c r="G513" s="36">
        <f>VLOOKUP(D513,'CSI Counts'!$B$2:$N$56,13,FALSE)</f>
        <v>135</v>
      </c>
      <c r="H513" s="47"/>
      <c r="I513" s="10">
        <v>7996.2340453971619</v>
      </c>
      <c r="J513" s="10">
        <f t="shared" si="54"/>
        <v>1079491.6000000001</v>
      </c>
      <c r="K513" s="2">
        <f>ROUND((J513-SUM('Entitlement to Date'!E38:N38))/2,2)</f>
        <v>92861.62</v>
      </c>
      <c r="L513" s="3"/>
      <c r="M513" s="3">
        <f>ROUND(((J513*-0.03)-SUM('CSI Admin to Date'!E38:N38))/2,2)</f>
        <v>-2785.85</v>
      </c>
      <c r="N513" s="3"/>
      <c r="O513" s="5">
        <f t="shared" si="53"/>
        <v>90075.76999999999</v>
      </c>
    </row>
    <row r="514" spans="1:15" ht="12.75" x14ac:dyDescent="0.2">
      <c r="A514" s="35" t="s">
        <v>152</v>
      </c>
      <c r="B514" s="13" t="s">
        <v>86</v>
      </c>
      <c r="C514" s="5" t="s">
        <v>176</v>
      </c>
      <c r="D514" s="21" t="s">
        <v>67</v>
      </c>
      <c r="E514" s="5" t="s">
        <v>204</v>
      </c>
      <c r="G514" s="36">
        <f>VLOOKUP(D514,'CSI Counts'!$B$2:$N$56,13,FALSE)</f>
        <v>473</v>
      </c>
      <c r="H514" s="47"/>
      <c r="I514" s="10">
        <v>7952.4820299164157</v>
      </c>
      <c r="J514" s="10">
        <f t="shared" si="54"/>
        <v>3761524</v>
      </c>
      <c r="K514" s="2">
        <f>ROUND((J514-SUM('Entitlement to Date'!E39:N39))/2,2)</f>
        <v>304854.92</v>
      </c>
      <c r="L514" s="3"/>
      <c r="M514" s="3">
        <f>ROUND(((J514*-0.03)-SUM('CSI Admin to Date'!E39:N39))/2,2)</f>
        <v>-9145.65</v>
      </c>
      <c r="N514" s="3">
        <v>-30369.32</v>
      </c>
      <c r="O514" s="5">
        <f t="shared" si="53"/>
        <v>265339.94999999995</v>
      </c>
    </row>
    <row r="515" spans="1:15" x14ac:dyDescent="0.25">
      <c r="A515" s="35" t="s">
        <v>152</v>
      </c>
      <c r="B515" s="13" t="s">
        <v>86</v>
      </c>
      <c r="C515" s="6" t="s">
        <v>176</v>
      </c>
      <c r="D515" t="s">
        <v>47</v>
      </c>
      <c r="E515" s="6" t="s">
        <v>205</v>
      </c>
      <c r="G515" s="36">
        <f>VLOOKUP(D515,'CSI Counts'!$B$2:$N$56,13,FALSE)</f>
        <v>284</v>
      </c>
      <c r="H515" s="47"/>
      <c r="I515" s="10">
        <v>8151.2020299164169</v>
      </c>
      <c r="J515" s="10">
        <f t="shared" si="54"/>
        <v>2314941.38</v>
      </c>
      <c r="K515" s="2">
        <f>ROUND((J515-SUM('Entitlement to Date'!E40:N40))/2,2)</f>
        <v>176933.52</v>
      </c>
      <c r="L515" s="3"/>
      <c r="M515" s="3">
        <f>ROUND(((J515*-0.03)-SUM('CSI Admin to Date'!E40:N40))/2,2)</f>
        <v>-5308.01</v>
      </c>
      <c r="N515" s="3">
        <v>-42638.53</v>
      </c>
      <c r="O515" s="5">
        <f t="shared" si="53"/>
        <v>128986.97999999998</v>
      </c>
    </row>
    <row r="516" spans="1:15" x14ac:dyDescent="0.25">
      <c r="A516" s="35" t="s">
        <v>152</v>
      </c>
      <c r="B516" s="13" t="s">
        <v>86</v>
      </c>
      <c r="C516" s="8" t="s">
        <v>176</v>
      </c>
      <c r="D516" t="s">
        <v>48</v>
      </c>
      <c r="E516" s="8" t="s">
        <v>206</v>
      </c>
      <c r="G516" s="36">
        <f>VLOOKUP(D516,'CSI Counts'!$B$2:$N$56,13,FALSE)</f>
        <v>249</v>
      </c>
      <c r="H516" s="9"/>
      <c r="I516" s="10">
        <v>8226.0120299164173</v>
      </c>
      <c r="J516" s="10">
        <f t="shared" si="54"/>
        <v>2048277</v>
      </c>
      <c r="K516" s="2">
        <f>ROUND((J516-SUM('Entitlement to Date'!E41:N41))/2,2)</f>
        <v>165221.85999999999</v>
      </c>
      <c r="L516" s="3"/>
      <c r="M516" s="3">
        <f>ROUND(((J516*-0.03)-SUM('CSI Admin to Date'!E41:N41))/2,2)</f>
        <v>-4956.66</v>
      </c>
      <c r="N516" s="3"/>
      <c r="O516" s="5">
        <f t="shared" si="53"/>
        <v>160265.19999999998</v>
      </c>
    </row>
    <row r="517" spans="1:15" x14ac:dyDescent="0.25">
      <c r="G517" s="9"/>
      <c r="H517" s="9"/>
      <c r="I517" s="6"/>
      <c r="J517" s="6"/>
      <c r="K517" s="6"/>
      <c r="L517" s="6"/>
      <c r="M517" s="6"/>
      <c r="N517" s="6"/>
      <c r="O517" s="6"/>
    </row>
    <row r="518" spans="1:15" x14ac:dyDescent="0.25">
      <c r="A518" s="48" t="s">
        <v>216</v>
      </c>
      <c r="C518" s="49">
        <v>7447.44</v>
      </c>
      <c r="G518" s="16">
        <f>SUM(G477:G517)</f>
        <v>19528.399999999998</v>
      </c>
      <c r="H518" s="9">
        <f>SUM(H477:H516)</f>
        <v>5</v>
      </c>
      <c r="I518" s="16"/>
      <c r="J518" s="16">
        <f t="shared" ref="J518:O518" si="55">SUM(J477:J516)</f>
        <v>154860644.56999996</v>
      </c>
      <c r="K518" s="16">
        <f t="shared" si="55"/>
        <v>13353549.359999998</v>
      </c>
      <c r="L518" s="16">
        <f t="shared" si="55"/>
        <v>0</v>
      </c>
      <c r="M518" s="3">
        <f>SUM(M477:M516)</f>
        <v>-400606.45000000013</v>
      </c>
      <c r="N518" s="3">
        <f t="shared" si="55"/>
        <v>-1380799.2100000002</v>
      </c>
      <c r="O518" s="16">
        <f t="shared" si="55"/>
        <v>11572143.700000003</v>
      </c>
    </row>
    <row r="521" spans="1:15" ht="12.75" x14ac:dyDescent="0.2">
      <c r="A521" s="17" t="s">
        <v>170</v>
      </c>
      <c r="B521" s="17"/>
      <c r="C521" s="11"/>
      <c r="D521" s="11"/>
      <c r="E521" s="17"/>
      <c r="F521" s="19"/>
      <c r="G521" s="19"/>
      <c r="H521" s="19"/>
      <c r="I521" s="19"/>
      <c r="J521" s="19"/>
      <c r="K521" s="19"/>
      <c r="L521" s="19"/>
      <c r="M521" s="19"/>
      <c r="N521" s="19"/>
      <c r="O521" s="19"/>
    </row>
    <row r="522" spans="1:15" ht="63.75" x14ac:dyDescent="0.2">
      <c r="A522" s="20" t="s">
        <v>220</v>
      </c>
      <c r="B522" s="20"/>
      <c r="C522" s="11"/>
      <c r="D522" s="11" t="s">
        <v>38</v>
      </c>
      <c r="E522" s="17" t="s">
        <v>39</v>
      </c>
      <c r="F522" s="12"/>
      <c r="G522" s="23" t="s">
        <v>0</v>
      </c>
      <c r="H522" s="45" t="s">
        <v>215</v>
      </c>
      <c r="I522" s="23" t="s">
        <v>1</v>
      </c>
      <c r="J522" s="23" t="s">
        <v>2</v>
      </c>
      <c r="K522" s="23" t="s">
        <v>3</v>
      </c>
      <c r="L522" s="23" t="s">
        <v>4</v>
      </c>
      <c r="M522" s="23" t="s">
        <v>5</v>
      </c>
      <c r="N522" s="23" t="s">
        <v>28</v>
      </c>
      <c r="O522" s="23" t="s">
        <v>6</v>
      </c>
    </row>
    <row r="523" spans="1:15" x14ac:dyDescent="0.25">
      <c r="C523" s="6"/>
      <c r="E523" s="6"/>
      <c r="F523" s="6"/>
      <c r="G523" s="14"/>
      <c r="H523" s="46"/>
      <c r="I523" s="10"/>
      <c r="J523" s="10"/>
      <c r="K523" s="10"/>
      <c r="L523" s="10"/>
      <c r="M523" s="10"/>
      <c r="N523" s="10"/>
      <c r="O523" s="5"/>
    </row>
    <row r="524" spans="1:15" ht="12.75" x14ac:dyDescent="0.2">
      <c r="A524" s="35" t="s">
        <v>142</v>
      </c>
      <c r="B524" s="13" t="s">
        <v>86</v>
      </c>
      <c r="C524" s="1" t="s">
        <v>172</v>
      </c>
      <c r="D524" s="21" t="s">
        <v>44</v>
      </c>
      <c r="E524" s="1" t="s">
        <v>177</v>
      </c>
      <c r="G524" s="36">
        <f>VLOOKUP(D524,'CSI Counts'!$B$2:$N$56,13,FALSE)</f>
        <v>1860</v>
      </c>
      <c r="H524" s="47"/>
      <c r="I524" s="10">
        <v>7777.2526171542286</v>
      </c>
      <c r="J524" s="10">
        <f>ROUND(G524*I524,2)</f>
        <v>14465689.869999999</v>
      </c>
      <c r="K524" s="2">
        <f>ROUND((J524-SUM('Entitlement to Date'!E2:O2))/1,2)</f>
        <v>1234427.1599999999</v>
      </c>
      <c r="L524" s="3"/>
      <c r="M524" s="3">
        <f>ROUND(((J524*-0.03)-SUM('CSI Admin to Date'!E2:O2))/1,2)</f>
        <v>-37032.81</v>
      </c>
      <c r="N524" s="3">
        <v>-185241.25</v>
      </c>
      <c r="O524" s="5">
        <f t="shared" ref="O524:O563" si="56">K524+L524+M524+N524</f>
        <v>1012153.0999999999</v>
      </c>
    </row>
    <row r="525" spans="1:15" ht="12.75" x14ac:dyDescent="0.2">
      <c r="A525" s="35" t="s">
        <v>142</v>
      </c>
      <c r="B525" s="13" t="s">
        <v>86</v>
      </c>
      <c r="C525" s="5" t="s">
        <v>172</v>
      </c>
      <c r="D525" s="21" t="s">
        <v>68</v>
      </c>
      <c r="E525" s="5" t="s">
        <v>178</v>
      </c>
      <c r="G525" s="36">
        <f>VLOOKUP(D525,'CSI Counts'!$B$2:$N$56,13,FALSE)</f>
        <v>828.5</v>
      </c>
      <c r="H525" s="47"/>
      <c r="I525" s="10">
        <v>7910.2526171542286</v>
      </c>
      <c r="J525" s="10">
        <f>ROUND(G525*I525,2)</f>
        <v>6553644.29</v>
      </c>
      <c r="K525" s="2">
        <f>ROUND((J525-SUM('Entitlement to Date'!E3:O3))/1,2)</f>
        <v>551286.78</v>
      </c>
      <c r="L525" s="3"/>
      <c r="M525" s="3">
        <f>ROUND(((J525*-0.03)-SUM('CSI Admin to Date'!E3:O3))/1,2)</f>
        <v>-16538.61</v>
      </c>
      <c r="N525" s="3">
        <v>-18902.14</v>
      </c>
      <c r="O525" s="5">
        <f t="shared" si="56"/>
        <v>515846.03</v>
      </c>
    </row>
    <row r="526" spans="1:15" ht="12.75" x14ac:dyDescent="0.2">
      <c r="A526" s="35" t="s">
        <v>142</v>
      </c>
      <c r="B526" s="13" t="s">
        <v>86</v>
      </c>
      <c r="C526" s="1" t="s">
        <v>172</v>
      </c>
      <c r="D526" s="22" t="s">
        <v>146</v>
      </c>
      <c r="E526" s="1" t="s">
        <v>179</v>
      </c>
      <c r="G526" s="36">
        <f>VLOOKUP(D526,'CSI Counts'!$B$2:$N$56,13,FALSE)</f>
        <v>2107</v>
      </c>
      <c r="H526" s="47">
        <v>5</v>
      </c>
      <c r="I526" s="10">
        <v>8153.4226171542286</v>
      </c>
      <c r="J526" s="10">
        <f>ROUND((G526*I526)+(H526*C565),2)</f>
        <v>17216498.649999999</v>
      </c>
      <c r="K526" s="2">
        <f>ROUND((J526-SUM('Entitlement to Date'!E4:O4))/1,2)</f>
        <v>1551923.26</v>
      </c>
      <c r="L526" s="3"/>
      <c r="M526" s="3">
        <f>ROUND(((J526*-0.03)-SUM('CSI Admin to Date'!E4:O4))/1,2)</f>
        <v>-46557.7</v>
      </c>
      <c r="N526" s="3">
        <v>-177139.79</v>
      </c>
      <c r="O526" s="5">
        <f t="shared" si="56"/>
        <v>1328225.77</v>
      </c>
    </row>
    <row r="527" spans="1:15" ht="12.75" x14ac:dyDescent="0.2">
      <c r="A527" s="35" t="s">
        <v>153</v>
      </c>
      <c r="B527" s="13" t="s">
        <v>89</v>
      </c>
      <c r="C527" s="5" t="s">
        <v>29</v>
      </c>
      <c r="D527" s="21" t="s">
        <v>80</v>
      </c>
      <c r="E527" s="5" t="s">
        <v>180</v>
      </c>
      <c r="G527" s="36">
        <f>VLOOKUP(D527,'CSI Counts'!$B$2:$N$56,13,FALSE)</f>
        <v>417.5</v>
      </c>
      <c r="H527" s="47"/>
      <c r="I527" s="10">
        <v>8245.1336297291928</v>
      </c>
      <c r="J527" s="10">
        <f t="shared" ref="J527:J563" si="57">ROUND(G527*I527,2)</f>
        <v>3442343.29</v>
      </c>
      <c r="K527" s="2">
        <f>ROUND((J527-SUM('Entitlement to Date'!E5:O5))/1,2)</f>
        <v>303602.11</v>
      </c>
      <c r="L527" s="3"/>
      <c r="M527" s="3">
        <f>ROUND(((J527*-0.03)-SUM('CSI Admin to Date'!E5:O5))/1,2)</f>
        <v>-9108.07</v>
      </c>
      <c r="N527" s="3">
        <v>-69104.31</v>
      </c>
      <c r="O527" s="5">
        <f t="shared" si="56"/>
        <v>225389.72999999998</v>
      </c>
    </row>
    <row r="528" spans="1:15" ht="12.75" x14ac:dyDescent="0.2">
      <c r="A528" s="35" t="s">
        <v>153</v>
      </c>
      <c r="B528" s="13" t="s">
        <v>89</v>
      </c>
      <c r="C528" s="5" t="s">
        <v>29</v>
      </c>
      <c r="D528" s="21" t="s">
        <v>49</v>
      </c>
      <c r="E528" s="5" t="s">
        <v>181</v>
      </c>
      <c r="G528" s="36">
        <f>VLOOKUP(D528,'CSI Counts'!$B$2:$N$56,13,FALSE)</f>
        <v>289</v>
      </c>
      <c r="H528" s="47"/>
      <c r="I528" s="10">
        <v>8315.3036297291928</v>
      </c>
      <c r="J528" s="10">
        <f t="shared" si="57"/>
        <v>2403122.75</v>
      </c>
      <c r="K528" s="2">
        <f>ROUND((J528-SUM('Entitlement to Date'!E6:O6))/1,2)</f>
        <v>180694.61</v>
      </c>
      <c r="L528" s="3"/>
      <c r="M528" s="3">
        <f>ROUND(((J528*-0.03)-SUM('CSI Admin to Date'!E6:O6))/1,2)</f>
        <v>-5420.83</v>
      </c>
      <c r="N528" s="3"/>
      <c r="O528" s="5">
        <f t="shared" si="56"/>
        <v>175273.78</v>
      </c>
    </row>
    <row r="529" spans="1:15" ht="12.75" x14ac:dyDescent="0.2">
      <c r="A529" s="34" t="s">
        <v>153</v>
      </c>
      <c r="B529" s="13" t="s">
        <v>89</v>
      </c>
      <c r="C529" s="5" t="s">
        <v>29</v>
      </c>
      <c r="D529" s="21" t="s">
        <v>50</v>
      </c>
      <c r="E529" s="5" t="s">
        <v>182</v>
      </c>
      <c r="F529" s="15"/>
      <c r="G529" s="36">
        <f>VLOOKUP(D529,'CSI Counts'!$B$2:$N$56,13,FALSE)</f>
        <v>170</v>
      </c>
      <c r="H529" s="47"/>
      <c r="I529" s="10">
        <v>8913.4836297291931</v>
      </c>
      <c r="J529" s="10">
        <f t="shared" si="57"/>
        <v>1515292.22</v>
      </c>
      <c r="K529" s="2">
        <f>ROUND((J529-SUM('Entitlement to Date'!E7:O7))/1,2)</f>
        <v>79407.59</v>
      </c>
      <c r="L529" s="3"/>
      <c r="M529" s="3">
        <f>ROUND(((J529*-0.03)-SUM('CSI Admin to Date'!E7:O7))/1,2)</f>
        <v>-2382.23</v>
      </c>
      <c r="N529" s="3"/>
      <c r="O529" s="5">
        <f t="shared" si="56"/>
        <v>77025.36</v>
      </c>
    </row>
    <row r="530" spans="1:15" ht="12.75" x14ac:dyDescent="0.2">
      <c r="A530" s="34" t="s">
        <v>153</v>
      </c>
      <c r="B530" s="13" t="s">
        <v>89</v>
      </c>
      <c r="C530" s="5" t="s">
        <v>29</v>
      </c>
      <c r="D530" s="21" t="s">
        <v>97</v>
      </c>
      <c r="E530" s="5" t="s">
        <v>183</v>
      </c>
      <c r="F530" s="15"/>
      <c r="G530" s="36">
        <f>VLOOKUP(D530,'CSI Counts'!$B$2:$N$56,13,FALSE)</f>
        <v>94</v>
      </c>
      <c r="H530" s="47"/>
      <c r="I530" s="10">
        <v>9067.0136297291938</v>
      </c>
      <c r="J530" s="10">
        <f t="shared" si="57"/>
        <v>852299.28</v>
      </c>
      <c r="K530" s="2">
        <f>ROUND((J530-SUM('Entitlement to Date'!E8:O8))/1,2)</f>
        <v>70896.899999999994</v>
      </c>
      <c r="L530" s="3"/>
      <c r="M530" s="3">
        <f>ROUND(((J530*-0.03)-SUM('CSI Admin to Date'!E8:O8))/1,2)</f>
        <v>-2126.91</v>
      </c>
      <c r="N530" s="3"/>
      <c r="O530" s="5">
        <f t="shared" si="56"/>
        <v>68769.989999999991</v>
      </c>
    </row>
    <row r="531" spans="1:15" ht="12.75" x14ac:dyDescent="0.2">
      <c r="A531" s="34" t="s">
        <v>151</v>
      </c>
      <c r="B531" s="13" t="s">
        <v>86</v>
      </c>
      <c r="C531" s="1" t="s">
        <v>85</v>
      </c>
      <c r="D531" s="22" t="s">
        <v>46</v>
      </c>
      <c r="E531" s="4" t="s">
        <v>184</v>
      </c>
      <c r="F531" s="15"/>
      <c r="G531" s="36">
        <f>VLOOKUP(D531,'CSI Counts'!$B$2:$N$56,13,FALSE)</f>
        <v>688.5</v>
      </c>
      <c r="H531" s="47"/>
      <c r="I531" s="10">
        <v>8006.7354759781902</v>
      </c>
      <c r="J531" s="10">
        <f t="shared" si="57"/>
        <v>5512637.3799999999</v>
      </c>
      <c r="K531" s="2">
        <f>ROUND((J531-SUM('Entitlement to Date'!E9:O9))/1,2)</f>
        <v>479447.09</v>
      </c>
      <c r="L531" s="3"/>
      <c r="M531" s="3">
        <f>ROUND(((J531*-0.03)-SUM('CSI Admin to Date'!E9:O9))/1,2)</f>
        <v>-14383.41</v>
      </c>
      <c r="N531" s="3">
        <v>-68610.62999999999</v>
      </c>
      <c r="O531" s="5">
        <f t="shared" si="56"/>
        <v>396453.05000000005</v>
      </c>
    </row>
    <row r="532" spans="1:15" ht="12.75" x14ac:dyDescent="0.2">
      <c r="A532" s="34" t="s">
        <v>147</v>
      </c>
      <c r="B532" s="13" t="s">
        <v>86</v>
      </c>
      <c r="C532" s="5" t="s">
        <v>8</v>
      </c>
      <c r="D532" s="21" t="s">
        <v>45</v>
      </c>
      <c r="E532" s="18" t="s">
        <v>185</v>
      </c>
      <c r="F532" s="15"/>
      <c r="G532" s="36">
        <f>VLOOKUP(D532,'CSI Counts'!$B$2:$N$56,13,FALSE)</f>
        <v>671</v>
      </c>
      <c r="H532" s="47"/>
      <c r="I532" s="10">
        <v>8197.9955054902985</v>
      </c>
      <c r="J532" s="10">
        <f t="shared" si="57"/>
        <v>5500854.9800000004</v>
      </c>
      <c r="K532" s="2">
        <f>ROUND((J532-SUM('Entitlement to Date'!E10:O10))/1,2)</f>
        <v>413433.02</v>
      </c>
      <c r="L532" s="3"/>
      <c r="M532" s="3">
        <f>ROUND(((J532*-0.03)-SUM('CSI Admin to Date'!E10:O10))/1,2)</f>
        <v>-12402.99</v>
      </c>
      <c r="N532" s="3">
        <v>-159448.34</v>
      </c>
      <c r="O532" s="5">
        <f t="shared" si="56"/>
        <v>241581.69000000003</v>
      </c>
    </row>
    <row r="533" spans="1:15" ht="12.75" x14ac:dyDescent="0.2">
      <c r="A533" s="34" t="s">
        <v>161</v>
      </c>
      <c r="B533" s="15" t="s">
        <v>90</v>
      </c>
      <c r="C533" s="5" t="s">
        <v>15</v>
      </c>
      <c r="D533" s="21" t="s">
        <v>55</v>
      </c>
      <c r="E533" s="5" t="s">
        <v>186</v>
      </c>
      <c r="F533" s="15"/>
      <c r="G533" s="36">
        <f>VLOOKUP(D533,'CSI Counts'!$B$2:$N$56,13,FALSE)</f>
        <v>540</v>
      </c>
      <c r="H533" s="47"/>
      <c r="I533" s="10">
        <v>7717.7</v>
      </c>
      <c r="J533" s="10">
        <f t="shared" si="57"/>
        <v>4167558</v>
      </c>
      <c r="K533" s="2">
        <f>ROUND((J533-SUM('Entitlement to Date'!E11:O11))/1,2)</f>
        <v>341737.22</v>
      </c>
      <c r="L533" s="3"/>
      <c r="M533" s="3">
        <f>ROUND(((J533*-0.03)-SUM('CSI Admin to Date'!E11:O11))/1,2)</f>
        <v>-10252.11</v>
      </c>
      <c r="N533" s="3">
        <v>-146415.38</v>
      </c>
      <c r="O533" s="5">
        <f t="shared" si="56"/>
        <v>185069.72999999998</v>
      </c>
    </row>
    <row r="534" spans="1:15" ht="12.75" x14ac:dyDescent="0.2">
      <c r="A534" s="34" t="s">
        <v>161</v>
      </c>
      <c r="B534" s="15" t="s">
        <v>90</v>
      </c>
      <c r="C534" s="5" t="s">
        <v>15</v>
      </c>
      <c r="D534" s="21" t="s">
        <v>56</v>
      </c>
      <c r="E534" s="5" t="s">
        <v>187</v>
      </c>
      <c r="F534" s="15"/>
      <c r="G534" s="36">
        <f>VLOOKUP(D534,'CSI Counts'!$B$2:$N$56,13,FALSE)</f>
        <v>248.5</v>
      </c>
      <c r="H534" s="47"/>
      <c r="I534" s="10">
        <v>7799.3827853852417</v>
      </c>
      <c r="J534" s="10">
        <f t="shared" si="57"/>
        <v>1938146.62</v>
      </c>
      <c r="K534" s="2">
        <f>ROUND((J534-SUM('Entitlement to Date'!E12:O12))/1,2)</f>
        <v>166987.04999999999</v>
      </c>
      <c r="L534" s="3"/>
      <c r="M534" s="3">
        <f>ROUND(((J534*-0.03)-SUM('CSI Admin to Date'!E12:O12))/1,2)</f>
        <v>-5009.6099999999997</v>
      </c>
      <c r="N534" s="3"/>
      <c r="O534" s="5">
        <f t="shared" si="56"/>
        <v>161977.44</v>
      </c>
    </row>
    <row r="535" spans="1:15" ht="12.75" x14ac:dyDescent="0.2">
      <c r="A535" s="34" t="s">
        <v>161</v>
      </c>
      <c r="B535" s="15" t="s">
        <v>90</v>
      </c>
      <c r="C535" s="1" t="s">
        <v>15</v>
      </c>
      <c r="D535" s="22" t="s">
        <v>79</v>
      </c>
      <c r="E535" s="1" t="s">
        <v>77</v>
      </c>
      <c r="F535" s="15"/>
      <c r="G535" s="36">
        <f>VLOOKUP(D535,'CSI Counts'!$B$2:$N$56,13,FALSE)</f>
        <v>630.5</v>
      </c>
      <c r="H535" s="47"/>
      <c r="I535" s="10">
        <v>7835.5727853852422</v>
      </c>
      <c r="J535" s="10">
        <f t="shared" si="57"/>
        <v>4940328.6399999997</v>
      </c>
      <c r="K535" s="2">
        <f>ROUND((J535-SUM('Entitlement to Date'!E13:O13))/1,2)</f>
        <v>434705.71</v>
      </c>
      <c r="L535" s="3"/>
      <c r="M535" s="3">
        <f>ROUND(((J535*-0.03)-SUM('CSI Admin to Date'!E13:O13))/1,2)</f>
        <v>-13041.18</v>
      </c>
      <c r="N535" s="3"/>
      <c r="O535" s="5">
        <f t="shared" si="56"/>
        <v>421664.53</v>
      </c>
    </row>
    <row r="536" spans="1:15" ht="12.75" x14ac:dyDescent="0.2">
      <c r="A536" s="34" t="s">
        <v>161</v>
      </c>
      <c r="B536" s="15" t="s">
        <v>90</v>
      </c>
      <c r="C536" s="1" t="s">
        <v>15</v>
      </c>
      <c r="D536" s="22" t="s">
        <v>54</v>
      </c>
      <c r="E536" s="1" t="s">
        <v>17</v>
      </c>
      <c r="F536" s="15"/>
      <c r="G536" s="36">
        <f>VLOOKUP(D536,'CSI Counts'!$B$2:$N$56,13,FALSE)</f>
        <v>382</v>
      </c>
      <c r="H536" s="47"/>
      <c r="I536" s="10">
        <v>7752.5727853852422</v>
      </c>
      <c r="J536" s="10">
        <f t="shared" si="57"/>
        <v>2961482.8</v>
      </c>
      <c r="K536" s="2">
        <f>ROUND((J536-SUM('Entitlement to Date'!E14:O14))/1,2)</f>
        <v>236785.38</v>
      </c>
      <c r="L536" s="3"/>
      <c r="M536" s="3">
        <f>ROUND(((J536*-0.03)-SUM('CSI Admin to Date'!E14:O14))/1,2)</f>
        <v>-7103.56</v>
      </c>
      <c r="N536" s="3">
        <v>-42485.42</v>
      </c>
      <c r="O536" s="5">
        <f t="shared" si="56"/>
        <v>187196.40000000002</v>
      </c>
    </row>
    <row r="537" spans="1:15" ht="12.75" x14ac:dyDescent="0.2">
      <c r="A537" s="34" t="s">
        <v>161</v>
      </c>
      <c r="B537" s="15" t="s">
        <v>90</v>
      </c>
      <c r="C537" s="1" t="s">
        <v>15</v>
      </c>
      <c r="D537" s="22" t="s">
        <v>114</v>
      </c>
      <c r="E537" s="1" t="s">
        <v>124</v>
      </c>
      <c r="F537" s="15"/>
      <c r="G537" s="36">
        <f>VLOOKUP(D537,'CSI Counts'!$B$2:$N$56,13,FALSE)</f>
        <v>224</v>
      </c>
      <c r="H537" s="47"/>
      <c r="I537" s="10">
        <v>8073.3527853852429</v>
      </c>
      <c r="J537" s="10">
        <f t="shared" si="57"/>
        <v>1808431.02</v>
      </c>
      <c r="K537" s="2">
        <f>ROUND((J537-SUM('Entitlement to Date'!E15:O15))/1,2)</f>
        <v>170419.45</v>
      </c>
      <c r="L537" s="3"/>
      <c r="M537" s="3">
        <f>ROUND(((J537*-0.03)-SUM('CSI Admin to Date'!E15:O15))/1,2)</f>
        <v>-5112.58</v>
      </c>
      <c r="N537" s="3"/>
      <c r="O537" s="5">
        <f t="shared" si="56"/>
        <v>165306.87000000002</v>
      </c>
    </row>
    <row r="538" spans="1:15" ht="12.75" x14ac:dyDescent="0.2">
      <c r="A538" s="34" t="s">
        <v>161</v>
      </c>
      <c r="B538" s="15" t="s">
        <v>90</v>
      </c>
      <c r="C538" s="1" t="s">
        <v>15</v>
      </c>
      <c r="D538" s="22" t="s">
        <v>118</v>
      </c>
      <c r="E538" s="4" t="s">
        <v>119</v>
      </c>
      <c r="G538" s="36">
        <f>VLOOKUP(D538,'CSI Counts'!$B$2:$N$56,13,FALSE)</f>
        <v>338</v>
      </c>
      <c r="H538" s="47"/>
      <c r="I538" s="10">
        <v>8172.7027853852414</v>
      </c>
      <c r="J538" s="10">
        <f t="shared" si="57"/>
        <v>2762373.54</v>
      </c>
      <c r="K538" s="2">
        <f>ROUND((J538-SUM('Entitlement to Date'!E16:O16))/1,2)</f>
        <v>274608.34999999998</v>
      </c>
      <c r="L538" s="3"/>
      <c r="M538" s="3">
        <f>ROUND(((J538*-0.03)-SUM('CSI Admin to Date'!E16:O16))/1,2)</f>
        <v>-8238.25</v>
      </c>
      <c r="N538" s="3"/>
      <c r="O538" s="5">
        <f t="shared" si="56"/>
        <v>266370.09999999998</v>
      </c>
    </row>
    <row r="539" spans="1:15" ht="12.75" x14ac:dyDescent="0.2">
      <c r="A539" s="34" t="s">
        <v>161</v>
      </c>
      <c r="B539" s="15" t="s">
        <v>90</v>
      </c>
      <c r="C539" s="1" t="s">
        <v>15</v>
      </c>
      <c r="D539" s="22" t="s">
        <v>58</v>
      </c>
      <c r="E539" s="1" t="s">
        <v>188</v>
      </c>
      <c r="G539" s="36">
        <f>VLOOKUP(D539,'CSI Counts'!$B$2:$N$56,13,FALSE)</f>
        <v>304</v>
      </c>
      <c r="H539" s="47"/>
      <c r="I539" s="10">
        <v>7904.8827853852417</v>
      </c>
      <c r="J539" s="10">
        <f t="shared" si="57"/>
        <v>2403084.37</v>
      </c>
      <c r="K539" s="2">
        <f>ROUND((J539-SUM('Entitlement to Date'!E17:O17))/1,2)</f>
        <v>193872.98</v>
      </c>
      <c r="L539" s="3"/>
      <c r="M539" s="3">
        <f>ROUND(((J539*-0.03)-SUM('CSI Admin to Date'!E17:O17))/1,2)</f>
        <v>-5816.18</v>
      </c>
      <c r="N539" s="3">
        <v>-17523.8</v>
      </c>
      <c r="O539" s="5">
        <f t="shared" si="56"/>
        <v>170533.00000000003</v>
      </c>
    </row>
    <row r="540" spans="1:15" ht="12.75" x14ac:dyDescent="0.2">
      <c r="A540" s="34" t="s">
        <v>161</v>
      </c>
      <c r="B540" s="15" t="s">
        <v>90</v>
      </c>
      <c r="C540" s="1" t="s">
        <v>15</v>
      </c>
      <c r="D540" s="22" t="s">
        <v>71</v>
      </c>
      <c r="E540" s="4" t="s">
        <v>70</v>
      </c>
      <c r="G540" s="36">
        <f>VLOOKUP(D540,'CSI Counts'!$B$2:$N$56,13,FALSE)</f>
        <v>58</v>
      </c>
      <c r="H540" s="47"/>
      <c r="I540" s="10">
        <v>7717.7</v>
      </c>
      <c r="J540" s="10">
        <f t="shared" si="57"/>
        <v>447626.6</v>
      </c>
      <c r="K540" s="2">
        <f>ROUND((J540-SUM('Entitlement to Date'!E18:O18))/1,2)</f>
        <v>31517</v>
      </c>
      <c r="L540" s="3"/>
      <c r="M540" s="3">
        <f>ROUND(((J540*-0.03)-SUM('CSI Admin to Date'!E18:O18))/1,2)</f>
        <v>-945.51</v>
      </c>
      <c r="N540" s="3"/>
      <c r="O540" s="5">
        <f t="shared" si="56"/>
        <v>30571.49</v>
      </c>
    </row>
    <row r="541" spans="1:15" ht="12.75" x14ac:dyDescent="0.2">
      <c r="A541" s="34" t="s">
        <v>161</v>
      </c>
      <c r="B541" s="15" t="s">
        <v>90</v>
      </c>
      <c r="C541" s="7" t="s">
        <v>15</v>
      </c>
      <c r="D541" s="21" t="s">
        <v>57</v>
      </c>
      <c r="E541" s="7" t="s">
        <v>32</v>
      </c>
      <c r="G541" s="36">
        <f>VLOOKUP(D541,'CSI Counts'!$B$2:$N$56,13,FALSE)</f>
        <v>323.8</v>
      </c>
      <c r="H541" s="47"/>
      <c r="I541" s="10">
        <v>7737.5327853852414</v>
      </c>
      <c r="J541" s="10">
        <f t="shared" si="57"/>
        <v>2505413.12</v>
      </c>
      <c r="K541" s="2">
        <f>ROUND((J541-SUM('Entitlement to Date'!E19:O19))/1,2)</f>
        <v>207055.59</v>
      </c>
      <c r="L541" s="3"/>
      <c r="M541" s="3">
        <f>ROUND(((J541*-0.03)-SUM('CSI Admin to Date'!E19:O19))/1,2)</f>
        <v>-6211.66</v>
      </c>
      <c r="N541" s="3"/>
      <c r="O541" s="5">
        <f t="shared" si="56"/>
        <v>200843.93</v>
      </c>
    </row>
    <row r="542" spans="1:15" ht="12.75" x14ac:dyDescent="0.2">
      <c r="A542" s="34" t="s">
        <v>161</v>
      </c>
      <c r="B542" s="15" t="s">
        <v>90</v>
      </c>
      <c r="C542" s="1" t="s">
        <v>15</v>
      </c>
      <c r="D542" s="21" t="s">
        <v>53</v>
      </c>
      <c r="E542" s="1" t="s">
        <v>189</v>
      </c>
      <c r="G542" s="36">
        <f>VLOOKUP(D542,'CSI Counts'!$B$2:$N$56,13,FALSE)</f>
        <v>906.1</v>
      </c>
      <c r="H542" s="47"/>
      <c r="I542" s="10">
        <v>7717.7</v>
      </c>
      <c r="J542" s="10">
        <f t="shared" si="57"/>
        <v>6993007.9699999997</v>
      </c>
      <c r="K542" s="2">
        <f>ROUND((J542-SUM('Entitlement to Date'!E20:O20))/1,2)</f>
        <v>580962.73</v>
      </c>
      <c r="L542" s="3"/>
      <c r="M542" s="3">
        <f>ROUND(((J542*-0.03)-SUM('CSI Admin to Date'!E20:O20))/1,2)</f>
        <v>-17428.89</v>
      </c>
      <c r="N542" s="3">
        <v>-63601.67</v>
      </c>
      <c r="O542" s="5">
        <f t="shared" si="56"/>
        <v>499932.17</v>
      </c>
    </row>
    <row r="543" spans="1:15" ht="12.75" x14ac:dyDescent="0.2">
      <c r="A543" s="35" t="s">
        <v>157</v>
      </c>
      <c r="B543" s="13" t="s">
        <v>87</v>
      </c>
      <c r="C543" s="5" t="s">
        <v>87</v>
      </c>
      <c r="D543" s="21" t="s">
        <v>173</v>
      </c>
      <c r="E543" s="5" t="s">
        <v>190</v>
      </c>
      <c r="G543" s="36">
        <f>VLOOKUP(D543,'CSI Counts'!$B$2:$N$56,13,FALSE)</f>
        <v>591</v>
      </c>
      <c r="H543" s="47"/>
      <c r="I543" s="10">
        <v>7854.3652850554863</v>
      </c>
      <c r="J543" s="10">
        <f t="shared" si="57"/>
        <v>4641929.88</v>
      </c>
      <c r="K543" s="2">
        <f>ROUND((J543-SUM('Entitlement to Date'!E21:O21))/1,2)</f>
        <v>378773.81</v>
      </c>
      <c r="L543" s="3"/>
      <c r="M543" s="3">
        <f>ROUND(((J543*-0.03)-SUM('CSI Admin to Date'!E21:O21))/1,2)</f>
        <v>-11363.22</v>
      </c>
      <c r="N543" s="3"/>
      <c r="O543" s="5">
        <f t="shared" si="56"/>
        <v>367410.59</v>
      </c>
    </row>
    <row r="544" spans="1:15" ht="12.75" x14ac:dyDescent="0.2">
      <c r="A544" s="35" t="s">
        <v>157</v>
      </c>
      <c r="B544" s="13" t="s">
        <v>87</v>
      </c>
      <c r="C544" s="1" t="s">
        <v>87</v>
      </c>
      <c r="D544" s="22" t="s">
        <v>51</v>
      </c>
      <c r="E544" s="1" t="s">
        <v>191</v>
      </c>
      <c r="G544" s="36">
        <f>VLOOKUP(D544,'CSI Counts'!$B$2:$N$56,13,FALSE)</f>
        <v>829</v>
      </c>
      <c r="H544" s="47"/>
      <c r="I544" s="10">
        <v>7792.669148095486</v>
      </c>
      <c r="J544" s="10">
        <f t="shared" si="57"/>
        <v>6460122.7199999997</v>
      </c>
      <c r="K544" s="2">
        <f>ROUND((J544-SUM('Entitlement to Date'!E22:O22))/1,2)</f>
        <v>546631.6</v>
      </c>
      <c r="L544" s="3"/>
      <c r="M544" s="3">
        <f>ROUND(((J544*-0.03)-SUM('CSI Admin to Date'!E22:O22))/1,2)</f>
        <v>-16398.939999999999</v>
      </c>
      <c r="N544" s="3">
        <v>-73961.25</v>
      </c>
      <c r="O544" s="5">
        <f t="shared" si="56"/>
        <v>456271.41000000003</v>
      </c>
    </row>
    <row r="545" spans="1:15" ht="12.75" x14ac:dyDescent="0.2">
      <c r="A545" s="35" t="s">
        <v>165</v>
      </c>
      <c r="B545" s="13" t="s">
        <v>91</v>
      </c>
      <c r="C545" s="7" t="s">
        <v>21</v>
      </c>
      <c r="D545" s="22" t="s">
        <v>61</v>
      </c>
      <c r="E545" s="7" t="s">
        <v>192</v>
      </c>
      <c r="G545" s="36">
        <f>VLOOKUP(D545,'CSI Counts'!$B$2:$N$56,13,FALSE)</f>
        <v>195.5</v>
      </c>
      <c r="H545" s="47"/>
      <c r="I545" s="10">
        <v>7972.0369001983618</v>
      </c>
      <c r="J545" s="10">
        <f t="shared" si="57"/>
        <v>1558533.21</v>
      </c>
      <c r="K545" s="2">
        <f>ROUND((J545-SUM('Entitlement to Date'!E23:O23))/1,2)</f>
        <v>133891.72</v>
      </c>
      <c r="L545" s="3"/>
      <c r="M545" s="3">
        <f>ROUND(((J545*-0.03)-SUM('CSI Admin to Date'!E23:O23))/1,2)</f>
        <v>-4016.76</v>
      </c>
      <c r="N545" s="3"/>
      <c r="O545" s="5">
        <f t="shared" si="56"/>
        <v>129874.96</v>
      </c>
    </row>
    <row r="546" spans="1:15" ht="12.75" x14ac:dyDescent="0.2">
      <c r="A546" s="35" t="s">
        <v>165</v>
      </c>
      <c r="B546" s="13" t="s">
        <v>91</v>
      </c>
      <c r="C546" s="5" t="s">
        <v>21</v>
      </c>
      <c r="D546" s="21" t="s">
        <v>62</v>
      </c>
      <c r="E546" s="5" t="s">
        <v>23</v>
      </c>
      <c r="G546" s="36">
        <f>VLOOKUP(D546,'CSI Counts'!$B$2:$N$56,13,FALSE)</f>
        <v>246.5</v>
      </c>
      <c r="H546" s="47"/>
      <c r="I546" s="10">
        <v>7879.916900198361</v>
      </c>
      <c r="J546" s="10">
        <f t="shared" si="57"/>
        <v>1942399.52</v>
      </c>
      <c r="K546" s="2">
        <f>ROUND((J546-SUM('Entitlement to Date'!E24:O24))/1,2)</f>
        <v>165379.07</v>
      </c>
      <c r="L546" s="3"/>
      <c r="M546" s="3">
        <f>ROUND(((J546*-0.03)-SUM('CSI Admin to Date'!E24:O24))/1,2)</f>
        <v>-4961.37</v>
      </c>
      <c r="N546" s="3"/>
      <c r="O546" s="5">
        <f t="shared" si="56"/>
        <v>160417.70000000001</v>
      </c>
    </row>
    <row r="547" spans="1:15" ht="12.75" x14ac:dyDescent="0.2">
      <c r="A547" s="35" t="s">
        <v>158</v>
      </c>
      <c r="B547" s="13" t="s">
        <v>13</v>
      </c>
      <c r="C547" s="5" t="s">
        <v>13</v>
      </c>
      <c r="D547" s="21" t="s">
        <v>52</v>
      </c>
      <c r="E547" s="5" t="s">
        <v>193</v>
      </c>
      <c r="G547" s="36">
        <f>VLOOKUP(D547,'CSI Counts'!$B$2:$N$56,13,FALSE)</f>
        <v>309</v>
      </c>
      <c r="H547" s="47"/>
      <c r="I547" s="10">
        <v>8247.0267303231503</v>
      </c>
      <c r="J547" s="10">
        <f t="shared" si="57"/>
        <v>2548331.2599999998</v>
      </c>
      <c r="K547" s="2">
        <f>ROUND((J547-SUM('Entitlement to Date'!E25:O25))/1,2)</f>
        <v>212460.43</v>
      </c>
      <c r="L547" s="3"/>
      <c r="M547" s="3">
        <f>ROUND(((J547*-0.03)-SUM('CSI Admin to Date'!E25:O25))/1,2)</f>
        <v>-6373.82</v>
      </c>
      <c r="N547" s="3"/>
      <c r="O547" s="5">
        <f t="shared" si="56"/>
        <v>206086.61</v>
      </c>
    </row>
    <row r="548" spans="1:15" ht="12.75" x14ac:dyDescent="0.2">
      <c r="A548" s="35" t="s">
        <v>164</v>
      </c>
      <c r="B548" s="13" t="s">
        <v>84</v>
      </c>
      <c r="C548" s="1" t="s">
        <v>84</v>
      </c>
      <c r="D548" s="22" t="s">
        <v>96</v>
      </c>
      <c r="E548" s="1" t="s">
        <v>83</v>
      </c>
      <c r="G548" s="36">
        <f>VLOOKUP(D548,'CSI Counts'!$B$2:$N$56,13,FALSE)</f>
        <v>695.5</v>
      </c>
      <c r="H548" s="47"/>
      <c r="I548" s="10">
        <v>7943.1782356493159</v>
      </c>
      <c r="J548" s="10">
        <f t="shared" si="57"/>
        <v>5524480.46</v>
      </c>
      <c r="K548" s="2">
        <f>ROUND((J548-SUM('Entitlement to Date'!E26:O26))/1,2)</f>
        <v>475319.2</v>
      </c>
      <c r="L548" s="3"/>
      <c r="M548" s="3">
        <f>ROUND(((J548*-0.03)-SUM('CSI Admin to Date'!E26:O26))/1,2)</f>
        <v>-14259.57</v>
      </c>
      <c r="N548" s="3">
        <v>-52246.990000000005</v>
      </c>
      <c r="O548" s="5">
        <f t="shared" si="56"/>
        <v>408812.64</v>
      </c>
    </row>
    <row r="549" spans="1:15" ht="12.75" x14ac:dyDescent="0.2">
      <c r="A549" s="35" t="s">
        <v>168</v>
      </c>
      <c r="B549" s="13" t="s">
        <v>88</v>
      </c>
      <c r="C549" s="1" t="s">
        <v>25</v>
      </c>
      <c r="D549" s="22" t="s">
        <v>65</v>
      </c>
      <c r="E549" s="1" t="s">
        <v>26</v>
      </c>
      <c r="G549" s="36">
        <f>VLOOKUP(D549,'CSI Counts'!$B$2:$N$56,13,FALSE)</f>
        <v>886.3</v>
      </c>
      <c r="H549" s="47"/>
      <c r="I549" s="10">
        <v>7717.7</v>
      </c>
      <c r="J549" s="10">
        <f t="shared" si="57"/>
        <v>6840197.5099999998</v>
      </c>
      <c r="K549" s="2">
        <f>ROUND((J549-SUM('Entitlement to Date'!E27:O27))/1,2)</f>
        <v>595494.41</v>
      </c>
      <c r="L549" s="3"/>
      <c r="M549" s="3">
        <f>ROUND(((J549*-0.03)-SUM('CSI Admin to Date'!E27:O27))/1,2)</f>
        <v>-17864.830000000002</v>
      </c>
      <c r="N549" s="3">
        <v>-111560</v>
      </c>
      <c r="O549" s="5">
        <f t="shared" si="56"/>
        <v>466069.58000000007</v>
      </c>
    </row>
    <row r="550" spans="1:15" ht="12.75" x14ac:dyDescent="0.2">
      <c r="A550" s="35" t="s">
        <v>168</v>
      </c>
      <c r="B550" s="13" t="s">
        <v>88</v>
      </c>
      <c r="C550" s="1" t="s">
        <v>25</v>
      </c>
      <c r="D550" s="22" t="s">
        <v>81</v>
      </c>
      <c r="E550" s="1" t="s">
        <v>194</v>
      </c>
      <c r="G550" s="36">
        <f>VLOOKUP(D550,'CSI Counts'!$B$2:$N$56,13,FALSE)</f>
        <v>53</v>
      </c>
      <c r="H550" s="47"/>
      <c r="I550" s="10">
        <v>7717.7</v>
      </c>
      <c r="J550" s="10">
        <f t="shared" si="57"/>
        <v>409038.1</v>
      </c>
      <c r="K550" s="2">
        <f>ROUND((J550-SUM('Entitlement to Date'!E28:O28))/1,2)</f>
        <v>31353.32</v>
      </c>
      <c r="L550" s="3"/>
      <c r="M550" s="3">
        <f>ROUND(((J550*-0.03)-SUM('CSI Admin to Date'!E28:O28))/1,2)</f>
        <v>-940.6</v>
      </c>
      <c r="N550" s="3"/>
      <c r="O550" s="5">
        <f t="shared" si="56"/>
        <v>30412.720000000001</v>
      </c>
    </row>
    <row r="551" spans="1:15" ht="12.75" x14ac:dyDescent="0.2">
      <c r="A551" s="35" t="s">
        <v>166</v>
      </c>
      <c r="B551" s="13" t="s">
        <v>92</v>
      </c>
      <c r="C551" s="1" t="s">
        <v>24</v>
      </c>
      <c r="D551" s="22" t="s">
        <v>63</v>
      </c>
      <c r="E551" s="1" t="s">
        <v>195</v>
      </c>
      <c r="G551" s="36">
        <f>VLOOKUP(D551,'CSI Counts'!$B$2:$N$56,13,FALSE)</f>
        <v>185</v>
      </c>
      <c r="H551" s="47"/>
      <c r="I551" s="10">
        <v>7717.7</v>
      </c>
      <c r="J551" s="10">
        <f t="shared" si="57"/>
        <v>1427774.5</v>
      </c>
      <c r="K551" s="2">
        <f>ROUND((J551-SUM('Entitlement to Date'!E29:O29))/1,2)</f>
        <v>117504.94</v>
      </c>
      <c r="L551" s="3"/>
      <c r="M551" s="3">
        <f>ROUND(((J551*-0.03)-SUM('CSI Admin to Date'!E29:O29))/1,2)</f>
        <v>-3525.15</v>
      </c>
      <c r="N551" s="3"/>
      <c r="O551" s="5">
        <f t="shared" si="56"/>
        <v>113979.79000000001</v>
      </c>
    </row>
    <row r="552" spans="1:15" ht="12.75" x14ac:dyDescent="0.2">
      <c r="A552" s="35" t="s">
        <v>166</v>
      </c>
      <c r="B552" s="13" t="s">
        <v>92</v>
      </c>
      <c r="C552" s="1" t="s">
        <v>24</v>
      </c>
      <c r="D552" s="22" t="s">
        <v>174</v>
      </c>
      <c r="E552" s="1" t="s">
        <v>196</v>
      </c>
      <c r="G552" s="36">
        <f>VLOOKUP(D552,'CSI Counts'!$B$2:$N$56,13,FALSE)</f>
        <v>243.5</v>
      </c>
      <c r="H552" s="47"/>
      <c r="I552" s="10">
        <v>7717.7</v>
      </c>
      <c r="J552" s="10">
        <f t="shared" si="57"/>
        <v>1879259.95</v>
      </c>
      <c r="K552" s="2">
        <f>ROUND((J552-SUM('Entitlement to Date'!E30:O30))/1,2)</f>
        <v>169246.36</v>
      </c>
      <c r="L552" s="3"/>
      <c r="M552" s="3">
        <f>ROUND(((J552*-0.03)-SUM('CSI Admin to Date'!E30:O30))/1,2)</f>
        <v>-5077.3900000000003</v>
      </c>
      <c r="N552" s="3"/>
      <c r="O552" s="5">
        <f t="shared" si="56"/>
        <v>164168.96999999997</v>
      </c>
    </row>
    <row r="553" spans="1:15" ht="12.75" x14ac:dyDescent="0.2">
      <c r="A553" s="35" t="s">
        <v>166</v>
      </c>
      <c r="B553" s="13" t="s">
        <v>92</v>
      </c>
      <c r="C553" s="1" t="s">
        <v>24</v>
      </c>
      <c r="D553" s="22" t="s">
        <v>115</v>
      </c>
      <c r="E553" s="1" t="s">
        <v>120</v>
      </c>
      <c r="G553" s="36">
        <f>VLOOKUP(D553,'CSI Counts'!$B$2:$N$56,13,FALSE)</f>
        <v>191</v>
      </c>
      <c r="H553" s="47"/>
      <c r="I553" s="10">
        <v>7717.7</v>
      </c>
      <c r="J553" s="10">
        <f t="shared" si="57"/>
        <v>1474080.7</v>
      </c>
      <c r="K553" s="2">
        <f>ROUND((J553-SUM('Entitlement to Date'!E31:O31))/1,2)</f>
        <v>137539.53</v>
      </c>
      <c r="L553" s="3"/>
      <c r="M553" s="3">
        <f>ROUND(((J553*-0.03)-SUM('CSI Admin to Date'!E31:O31))/1,2)</f>
        <v>-4126.18</v>
      </c>
      <c r="N553" s="3"/>
      <c r="O553" s="5">
        <f t="shared" si="56"/>
        <v>133413.35</v>
      </c>
    </row>
    <row r="554" spans="1:15" ht="12.75" x14ac:dyDescent="0.2">
      <c r="A554" s="35" t="s">
        <v>166</v>
      </c>
      <c r="B554" s="13" t="s">
        <v>92</v>
      </c>
      <c r="C554" s="1" t="s">
        <v>24</v>
      </c>
      <c r="D554" s="22" t="s">
        <v>117</v>
      </c>
      <c r="E554" s="1" t="s">
        <v>197</v>
      </c>
      <c r="G554" s="36">
        <f>VLOOKUP(D554,'CSI Counts'!$B$2:$N$56,13,FALSE)</f>
        <v>615.6</v>
      </c>
      <c r="H554" s="47"/>
      <c r="I554" s="10">
        <v>7717.7</v>
      </c>
      <c r="J554" s="10">
        <f t="shared" si="57"/>
        <v>4751016.12</v>
      </c>
      <c r="K554" s="2">
        <f>ROUND((J554-SUM('Entitlement to Date'!E32:O32))/1,2)</f>
        <v>580357.03</v>
      </c>
      <c r="L554" s="3"/>
      <c r="M554" s="3">
        <f>ROUND(((J554*-0.03)-SUM('CSI Admin to Date'!E32:O32))/1,2)</f>
        <v>-17410.71</v>
      </c>
      <c r="N554" s="3"/>
      <c r="O554" s="5">
        <f t="shared" si="56"/>
        <v>562946.32000000007</v>
      </c>
    </row>
    <row r="555" spans="1:15" ht="12.75" x14ac:dyDescent="0.2">
      <c r="A555" s="35" t="s">
        <v>166</v>
      </c>
      <c r="B555" s="13" t="s">
        <v>92</v>
      </c>
      <c r="C555" s="1" t="s">
        <v>24</v>
      </c>
      <c r="D555" s="22" t="s">
        <v>64</v>
      </c>
      <c r="E555" s="1" t="s">
        <v>198</v>
      </c>
      <c r="G555" s="36">
        <f>VLOOKUP(D555,'CSI Counts'!$B$2:$N$56,13,FALSE)</f>
        <v>1273</v>
      </c>
      <c r="H555" s="47"/>
      <c r="I555" s="10">
        <v>7717.7</v>
      </c>
      <c r="J555" s="10">
        <f t="shared" si="57"/>
        <v>9824632.0999999996</v>
      </c>
      <c r="K555" s="2">
        <f>ROUND((J555-SUM('Entitlement to Date'!E33:O33))/1,2)</f>
        <v>826102.82</v>
      </c>
      <c r="L555" s="3"/>
      <c r="M555" s="3">
        <f>ROUND(((J555*-0.03)-SUM('CSI Admin to Date'!E33:O33))/1,2)</f>
        <v>-24783.08</v>
      </c>
      <c r="N555" s="3">
        <v>-160915</v>
      </c>
      <c r="O555" s="5">
        <f t="shared" si="56"/>
        <v>640404.74</v>
      </c>
    </row>
    <row r="556" spans="1:15" ht="12.75" x14ac:dyDescent="0.2">
      <c r="A556" s="35" t="s">
        <v>166</v>
      </c>
      <c r="B556" s="13" t="s">
        <v>92</v>
      </c>
      <c r="C556" s="1" t="s">
        <v>24</v>
      </c>
      <c r="D556" s="22" t="s">
        <v>116</v>
      </c>
      <c r="E556" s="1" t="s">
        <v>199</v>
      </c>
      <c r="G556" s="36">
        <f>VLOOKUP(D556,'CSI Counts'!$B$2:$N$56,13,FALSE)</f>
        <v>220.5</v>
      </c>
      <c r="H556" s="47"/>
      <c r="I556" s="10">
        <v>7717.7</v>
      </c>
      <c r="J556" s="10">
        <f t="shared" si="57"/>
        <v>1701752.85</v>
      </c>
      <c r="K556" s="2">
        <f>ROUND((J556-SUM('Entitlement to Date'!E34:O34))/1,2)</f>
        <v>200576.86</v>
      </c>
      <c r="L556" s="3"/>
      <c r="M556" s="3">
        <f>ROUND(((J556*-0.03)-SUM('CSI Admin to Date'!E34:O34))/1,2)</f>
        <v>-6017.31</v>
      </c>
      <c r="N556" s="3"/>
      <c r="O556" s="5">
        <f t="shared" si="56"/>
        <v>194559.55</v>
      </c>
    </row>
    <row r="557" spans="1:15" ht="12.75" x14ac:dyDescent="0.2">
      <c r="A557" s="35" t="s">
        <v>162</v>
      </c>
      <c r="B557" s="13" t="s">
        <v>93</v>
      </c>
      <c r="C557" s="5" t="s">
        <v>19</v>
      </c>
      <c r="D557" s="21" t="s">
        <v>59</v>
      </c>
      <c r="E557" s="5" t="s">
        <v>200</v>
      </c>
      <c r="G557" s="36">
        <f>VLOOKUP(D557,'CSI Counts'!$B$2:$N$56,13,FALSE)</f>
        <v>313</v>
      </c>
      <c r="H557" s="47"/>
      <c r="I557" s="10">
        <v>8251.230889337472</v>
      </c>
      <c r="J557" s="10">
        <f t="shared" si="57"/>
        <v>2582635.27</v>
      </c>
      <c r="K557" s="2">
        <f>ROUND((J557-SUM('Entitlement to Date'!E35:O35))/1,2)</f>
        <v>224699.22</v>
      </c>
      <c r="L557" s="3"/>
      <c r="M557" s="3">
        <f>ROUND(((J557*-0.03)-SUM('CSI Admin to Date'!E35:O35))/1,2)</f>
        <v>-6740.98</v>
      </c>
      <c r="N557" s="3"/>
      <c r="O557" s="5">
        <f t="shared" si="56"/>
        <v>217958.24</v>
      </c>
    </row>
    <row r="558" spans="1:15" ht="12.75" x14ac:dyDescent="0.2">
      <c r="A558" s="35" t="s">
        <v>162</v>
      </c>
      <c r="B558" s="13" t="s">
        <v>93</v>
      </c>
      <c r="C558" s="7" t="s">
        <v>19</v>
      </c>
      <c r="D558" s="22" t="s">
        <v>60</v>
      </c>
      <c r="E558" s="7" t="s">
        <v>201</v>
      </c>
      <c r="G558" s="36">
        <f>VLOOKUP(D558,'CSI Counts'!$B$2:$N$56,13,FALSE)</f>
        <v>372.6</v>
      </c>
      <c r="H558" s="47"/>
      <c r="I558" s="10">
        <v>8114.2508893374734</v>
      </c>
      <c r="J558" s="10">
        <f t="shared" si="57"/>
        <v>3023369.88</v>
      </c>
      <c r="K558" s="2">
        <f>ROUND((J558-SUM('Entitlement to Date'!E36:O36))/1,2)</f>
        <v>257246.58</v>
      </c>
      <c r="L558" s="3"/>
      <c r="M558" s="3">
        <f>ROUND(((J558*-0.03)-SUM('CSI Admin to Date'!E36:O36))/1,2)</f>
        <v>-7717.4</v>
      </c>
      <c r="N558" s="3">
        <v>-42338.92</v>
      </c>
      <c r="O558" s="5">
        <f t="shared" si="56"/>
        <v>207190.26</v>
      </c>
    </row>
    <row r="559" spans="1:15" ht="12.75" x14ac:dyDescent="0.2">
      <c r="A559" s="35" t="s">
        <v>156</v>
      </c>
      <c r="B559" s="13" t="s">
        <v>94</v>
      </c>
      <c r="C559" s="5" t="s">
        <v>40</v>
      </c>
      <c r="D559" s="21" t="s">
        <v>82</v>
      </c>
      <c r="E559" s="5" t="s">
        <v>202</v>
      </c>
      <c r="G559" s="36">
        <f>VLOOKUP(D559,'CSI Counts'!$B$2:$N$56,13,FALSE)</f>
        <v>87</v>
      </c>
      <c r="H559" s="47"/>
      <c r="I559" s="10">
        <v>7781.8525457557889</v>
      </c>
      <c r="J559" s="10">
        <f t="shared" si="57"/>
        <v>677021.17</v>
      </c>
      <c r="K559" s="2">
        <f>ROUND((J559-SUM('Entitlement to Date'!E37:O37))/1,2)</f>
        <v>57330.33</v>
      </c>
      <c r="L559" s="3"/>
      <c r="M559" s="3">
        <f>ROUND(((J559*-0.03)-SUM('CSI Admin to Date'!E37:O37))/1,2)</f>
        <v>-1719.91</v>
      </c>
      <c r="N559" s="3"/>
      <c r="O559" s="5">
        <f t="shared" si="56"/>
        <v>55610.42</v>
      </c>
    </row>
    <row r="560" spans="1:15" ht="12.75" x14ac:dyDescent="0.2">
      <c r="A560" s="35" t="s">
        <v>169</v>
      </c>
      <c r="B560" s="13" t="s">
        <v>95</v>
      </c>
      <c r="C560" s="5" t="s">
        <v>175</v>
      </c>
      <c r="D560" s="21" t="s">
        <v>74</v>
      </c>
      <c r="E560" s="5" t="s">
        <v>203</v>
      </c>
      <c r="G560" s="36">
        <f>VLOOKUP(D560,'CSI Counts'!$B$2:$N$56,13,FALSE)</f>
        <v>135</v>
      </c>
      <c r="H560" s="47"/>
      <c r="I560" s="10">
        <v>7996.2340453971619</v>
      </c>
      <c r="J560" s="10">
        <f t="shared" si="57"/>
        <v>1079491.6000000001</v>
      </c>
      <c r="K560" s="2">
        <f>ROUND((J560-SUM('Entitlement to Date'!E38:O38))/1,2)</f>
        <v>92861.61</v>
      </c>
      <c r="L560" s="3"/>
      <c r="M560" s="3">
        <f>ROUND(((J560*-0.03)-SUM('CSI Admin to Date'!E38:O38))/1,2)</f>
        <v>-2785.85</v>
      </c>
      <c r="N560" s="3"/>
      <c r="O560" s="5">
        <f t="shared" si="56"/>
        <v>90075.76</v>
      </c>
    </row>
    <row r="561" spans="1:15" ht="12.75" x14ac:dyDescent="0.2">
      <c r="A561" s="35" t="s">
        <v>152</v>
      </c>
      <c r="B561" s="13" t="s">
        <v>86</v>
      </c>
      <c r="C561" s="5" t="s">
        <v>176</v>
      </c>
      <c r="D561" s="21" t="s">
        <v>67</v>
      </c>
      <c r="E561" s="5" t="s">
        <v>204</v>
      </c>
      <c r="G561" s="36">
        <f>VLOOKUP(D561,'CSI Counts'!$B$2:$N$56,13,FALSE)</f>
        <v>473</v>
      </c>
      <c r="H561" s="47"/>
      <c r="I561" s="10">
        <v>7952.4820299164157</v>
      </c>
      <c r="J561" s="10">
        <f t="shared" si="57"/>
        <v>3761524</v>
      </c>
      <c r="K561" s="2">
        <f>ROUND((J561-SUM('Entitlement to Date'!E39:O39))/1,2)</f>
        <v>304854.90999999997</v>
      </c>
      <c r="L561" s="3"/>
      <c r="M561" s="3">
        <f>ROUND(((J561*-0.03)-SUM('CSI Admin to Date'!E39:O39))/1,2)</f>
        <v>-9145.64</v>
      </c>
      <c r="N561" s="3">
        <v>-30332.98</v>
      </c>
      <c r="O561" s="5">
        <f t="shared" si="56"/>
        <v>265376.28999999998</v>
      </c>
    </row>
    <row r="562" spans="1:15" x14ac:dyDescent="0.25">
      <c r="A562" s="35" t="s">
        <v>152</v>
      </c>
      <c r="B562" s="13" t="s">
        <v>86</v>
      </c>
      <c r="C562" s="6" t="s">
        <v>176</v>
      </c>
      <c r="D562" t="s">
        <v>47</v>
      </c>
      <c r="E562" s="6" t="s">
        <v>205</v>
      </c>
      <c r="G562" s="36">
        <f>VLOOKUP(D562,'CSI Counts'!$B$2:$N$56,13,FALSE)</f>
        <v>284</v>
      </c>
      <c r="H562" s="47"/>
      <c r="I562" s="10">
        <v>8151.2020299164169</v>
      </c>
      <c r="J562" s="10">
        <f t="shared" si="57"/>
        <v>2314941.38</v>
      </c>
      <c r="K562" s="2">
        <f>ROUND((J562-SUM('Entitlement to Date'!E40:O40))/1,2)</f>
        <v>176933.52</v>
      </c>
      <c r="L562" s="3"/>
      <c r="M562" s="3">
        <f>ROUND(((J562*-0.03)-SUM('CSI Admin to Date'!E40:O40))/1,2)</f>
        <v>-5308</v>
      </c>
      <c r="N562" s="3">
        <v>-42638.62</v>
      </c>
      <c r="O562" s="5">
        <f t="shared" si="56"/>
        <v>128986.9</v>
      </c>
    </row>
    <row r="563" spans="1:15" x14ac:dyDescent="0.25">
      <c r="A563" s="35" t="s">
        <v>152</v>
      </c>
      <c r="B563" s="13" t="s">
        <v>86</v>
      </c>
      <c r="C563" s="8" t="s">
        <v>176</v>
      </c>
      <c r="D563" t="s">
        <v>48</v>
      </c>
      <c r="E563" s="8" t="s">
        <v>206</v>
      </c>
      <c r="G563" s="36">
        <f>VLOOKUP(D563,'CSI Counts'!$B$2:$N$56,13,FALSE)</f>
        <v>249</v>
      </c>
      <c r="H563" s="9"/>
      <c r="I563" s="10">
        <v>8226.0120299164173</v>
      </c>
      <c r="J563" s="10">
        <f t="shared" si="57"/>
        <v>2048277</v>
      </c>
      <c r="K563" s="2">
        <f>ROUND((J563-SUM('Entitlement to Date'!E41:O41))/1,2)</f>
        <v>165221.85999999999</v>
      </c>
      <c r="L563" s="3"/>
      <c r="M563" s="3">
        <f>ROUND(((J563*-0.03)-SUM('CSI Admin to Date'!E41:O41))/1,2)</f>
        <v>-4956.66</v>
      </c>
      <c r="N563" s="3"/>
      <c r="O563" s="5">
        <f t="shared" si="56"/>
        <v>160265.19999999998</v>
      </c>
    </row>
    <row r="564" spans="1:15" x14ac:dyDescent="0.25">
      <c r="G564" s="9"/>
      <c r="H564" s="9"/>
      <c r="I564" s="6"/>
      <c r="J564" s="6"/>
      <c r="K564" s="6"/>
      <c r="L564" s="6"/>
      <c r="M564" s="6"/>
      <c r="N564" s="6"/>
      <c r="O564" s="6"/>
    </row>
    <row r="565" spans="1:15" x14ac:dyDescent="0.25">
      <c r="A565" s="48" t="s">
        <v>216</v>
      </c>
      <c r="C565" s="49">
        <v>7447.44</v>
      </c>
      <c r="G565" s="16">
        <f>SUM(G524:G564)</f>
        <v>19528.399999999998</v>
      </c>
      <c r="H565" s="9">
        <f>SUM(H524:H563)</f>
        <v>5</v>
      </c>
      <c r="I565" s="16"/>
      <c r="J565" s="16">
        <f t="shared" ref="J565:L565" si="58">SUM(J524:J563)</f>
        <v>154860644.56999996</v>
      </c>
      <c r="K565" s="16">
        <f t="shared" si="58"/>
        <v>13353549.109999996</v>
      </c>
      <c r="L565" s="16">
        <f t="shared" si="58"/>
        <v>0</v>
      </c>
      <c r="M565" s="3">
        <f>SUM(M524:M563)</f>
        <v>-400606.45999999996</v>
      </c>
      <c r="N565" s="3">
        <f t="shared" ref="N565:O565" si="59">SUM(N524:N563)</f>
        <v>-1462466.4900000002</v>
      </c>
      <c r="O565" s="16">
        <f t="shared" si="59"/>
        <v>11490476.16</v>
      </c>
    </row>
  </sheetData>
  <pageMargins left="0.25" right="0.25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5"/>
  <sheetViews>
    <sheetView zoomScale="90" zoomScaleNormal="90" workbookViewId="0">
      <selection activeCell="A2" sqref="A2"/>
    </sheetView>
  </sheetViews>
  <sheetFormatPr defaultRowHeight="15" x14ac:dyDescent="0.25"/>
  <cols>
    <col min="1" max="1" width="8.85546875" bestFit="1" customWidth="1"/>
    <col min="2" max="2" width="17.5703125" bestFit="1" customWidth="1"/>
    <col min="3" max="3" width="14.42578125" bestFit="1" customWidth="1"/>
    <col min="4" max="4" width="36" bestFit="1" customWidth="1"/>
    <col min="5" max="16" width="14.42578125" bestFit="1" customWidth="1"/>
    <col min="17" max="17" width="15.5703125" bestFit="1" customWidth="1"/>
    <col min="19" max="19" width="18.5703125" bestFit="1" customWidth="1"/>
    <col min="20" max="20" width="19.42578125" bestFit="1" customWidth="1"/>
  </cols>
  <sheetData>
    <row r="1" spans="1:21" s="25" customFormat="1" x14ac:dyDescent="0.25">
      <c r="A1" s="25" t="s">
        <v>99</v>
      </c>
      <c r="B1" s="25" t="s">
        <v>100</v>
      </c>
      <c r="C1" s="25" t="s">
        <v>38</v>
      </c>
      <c r="D1" s="25" t="s">
        <v>101</v>
      </c>
      <c r="E1" s="26" t="s">
        <v>98</v>
      </c>
      <c r="F1" s="26" t="s">
        <v>102</v>
      </c>
      <c r="G1" s="26" t="s">
        <v>103</v>
      </c>
      <c r="H1" s="26" t="s">
        <v>104</v>
      </c>
      <c r="I1" s="26" t="s">
        <v>105</v>
      </c>
      <c r="J1" s="26" t="s">
        <v>106</v>
      </c>
      <c r="K1" s="26" t="s">
        <v>107</v>
      </c>
      <c r="L1" s="26" t="s">
        <v>108</v>
      </c>
      <c r="M1" s="26" t="s">
        <v>109</v>
      </c>
      <c r="N1" s="26" t="s">
        <v>110</v>
      </c>
      <c r="O1" s="26" t="s">
        <v>111</v>
      </c>
      <c r="P1" s="26" t="s">
        <v>112</v>
      </c>
      <c r="Q1" s="26" t="s">
        <v>113</v>
      </c>
      <c r="S1" s="25" t="s">
        <v>221</v>
      </c>
      <c r="T1" s="25" t="s">
        <v>223</v>
      </c>
      <c r="U1" s="25" t="s">
        <v>222</v>
      </c>
    </row>
    <row r="2" spans="1:21" x14ac:dyDescent="0.25">
      <c r="A2" s="13" t="s">
        <v>86</v>
      </c>
      <c r="B2" s="1" t="s">
        <v>172</v>
      </c>
      <c r="C2" s="21" t="s">
        <v>44</v>
      </c>
      <c r="D2" s="1" t="s">
        <v>177</v>
      </c>
      <c r="E2" s="24">
        <v>1209275.6100000001</v>
      </c>
      <c r="F2" s="27">
        <v>1209275.6100000001</v>
      </c>
      <c r="G2" s="27">
        <v>1209275.6100000001</v>
      </c>
      <c r="H2" s="24">
        <v>1209275.6100000001</v>
      </c>
      <c r="I2" s="24">
        <v>1209275.6100000001</v>
      </c>
      <c r="J2" s="24">
        <v>1165386.96</v>
      </c>
      <c r="K2" s="24">
        <v>1165012.6100000001</v>
      </c>
      <c r="L2" s="28">
        <v>1165012.6100000001</v>
      </c>
      <c r="M2" s="24">
        <v>1227522.6599999999</v>
      </c>
      <c r="N2" s="24">
        <v>1227522.6499999999</v>
      </c>
      <c r="O2" s="24">
        <v>1234427.17</v>
      </c>
      <c r="P2" s="24"/>
      <c r="Q2" s="24">
        <f>SUM(E2:P2)</f>
        <v>13231262.710000001</v>
      </c>
      <c r="S2" s="24">
        <f>Monthly!J524</f>
        <v>14465689.869999999</v>
      </c>
      <c r="T2" s="24">
        <f>S2-Q2</f>
        <v>1234427.1599999983</v>
      </c>
      <c r="U2" s="50">
        <f>T2-Monthly!K524</f>
        <v>0</v>
      </c>
    </row>
    <row r="3" spans="1:21" x14ac:dyDescent="0.25">
      <c r="A3" s="13" t="s">
        <v>86</v>
      </c>
      <c r="B3" s="5" t="s">
        <v>172</v>
      </c>
      <c r="C3" s="21" t="s">
        <v>68</v>
      </c>
      <c r="D3" s="5" t="s">
        <v>178</v>
      </c>
      <c r="E3" s="24">
        <v>555648.66</v>
      </c>
      <c r="F3" s="27">
        <v>555648.66</v>
      </c>
      <c r="G3" s="27">
        <v>555648.66</v>
      </c>
      <c r="H3" s="24">
        <v>555648.66</v>
      </c>
      <c r="I3" s="24">
        <v>555648.66</v>
      </c>
      <c r="J3" s="24">
        <v>523368.03</v>
      </c>
      <c r="K3" s="24">
        <v>523442.92</v>
      </c>
      <c r="L3" s="28">
        <v>523442.92</v>
      </c>
      <c r="M3" s="24">
        <v>551286.78</v>
      </c>
      <c r="N3" s="24">
        <v>551286.78</v>
      </c>
      <c r="O3" s="24">
        <v>551286.78</v>
      </c>
      <c r="P3" s="24"/>
      <c r="Q3" s="24">
        <f t="shared" ref="Q3:Q41" si="0">SUM(E3:P3)</f>
        <v>6002357.5100000007</v>
      </c>
      <c r="S3" s="24">
        <f>Monthly!J525</f>
        <v>6553644.29</v>
      </c>
      <c r="T3" s="24">
        <f t="shared" ref="T3:T41" si="1">S3-Q3</f>
        <v>551286.77999999933</v>
      </c>
      <c r="U3" s="50">
        <f>T3-Monthly!K525</f>
        <v>0</v>
      </c>
    </row>
    <row r="4" spans="1:21" x14ac:dyDescent="0.25">
      <c r="A4" s="13" t="s">
        <v>86</v>
      </c>
      <c r="B4" s="1" t="s">
        <v>172</v>
      </c>
      <c r="C4" s="22" t="s">
        <v>146</v>
      </c>
      <c r="D4" s="1" t="s">
        <v>179</v>
      </c>
      <c r="E4" s="24">
        <v>1315802.33</v>
      </c>
      <c r="F4" s="27">
        <v>1315802.33</v>
      </c>
      <c r="G4" s="27">
        <v>1315802.33</v>
      </c>
      <c r="H4" s="24">
        <v>1315802.33</v>
      </c>
      <c r="I4" s="24">
        <v>1315802.33</v>
      </c>
      <c r="J4" s="24">
        <v>1475205.66</v>
      </c>
      <c r="K4" s="24">
        <v>1473633.29</v>
      </c>
      <c r="L4" s="28">
        <v>1480955</v>
      </c>
      <c r="M4" s="24">
        <v>1551923.26</v>
      </c>
      <c r="N4" s="24">
        <v>1551923.26</v>
      </c>
      <c r="O4" s="24">
        <v>1551923.27</v>
      </c>
      <c r="P4" s="24"/>
      <c r="Q4" s="24">
        <f t="shared" si="0"/>
        <v>15664575.390000001</v>
      </c>
      <c r="S4" s="24">
        <f>Monthly!J526</f>
        <v>17216498.649999999</v>
      </c>
      <c r="T4" s="24">
        <f t="shared" si="1"/>
        <v>1551923.2599999979</v>
      </c>
      <c r="U4" s="50">
        <f>T4-Monthly!K526</f>
        <v>-2.0954757928848267E-9</v>
      </c>
    </row>
    <row r="5" spans="1:21" x14ac:dyDescent="0.25">
      <c r="A5" s="13" t="s">
        <v>89</v>
      </c>
      <c r="B5" s="5" t="s">
        <v>29</v>
      </c>
      <c r="C5" s="21" t="s">
        <v>80</v>
      </c>
      <c r="D5" s="5" t="s">
        <v>180</v>
      </c>
      <c r="E5" s="24">
        <v>272318.65000000002</v>
      </c>
      <c r="F5" s="27">
        <v>272318.65000000002</v>
      </c>
      <c r="G5" s="27">
        <v>272318.65000000002</v>
      </c>
      <c r="H5" s="24">
        <v>272318.65000000002</v>
      </c>
      <c r="I5" s="24">
        <v>272318.65000000002</v>
      </c>
      <c r="J5" s="24">
        <v>289427.03000000003</v>
      </c>
      <c r="K5" s="24">
        <v>288457.28000000003</v>
      </c>
      <c r="L5" s="28">
        <v>288457.28000000003</v>
      </c>
      <c r="M5" s="24">
        <v>303602.11</v>
      </c>
      <c r="N5" s="24">
        <v>303602.11</v>
      </c>
      <c r="O5" s="24">
        <v>303602.12</v>
      </c>
      <c r="P5" s="24"/>
      <c r="Q5" s="24">
        <f t="shared" si="0"/>
        <v>3138741.1799999997</v>
      </c>
      <c r="S5" s="24">
        <f>Monthly!J527</f>
        <v>3442343.29</v>
      </c>
      <c r="T5" s="24">
        <f t="shared" si="1"/>
        <v>303602.11000000034</v>
      </c>
      <c r="U5" s="50">
        <f>T5-Monthly!K527</f>
        <v>0</v>
      </c>
    </row>
    <row r="6" spans="1:21" x14ac:dyDescent="0.25">
      <c r="A6" s="13" t="s">
        <v>89</v>
      </c>
      <c r="B6" s="5" t="s">
        <v>29</v>
      </c>
      <c r="C6" s="21" t="s">
        <v>49</v>
      </c>
      <c r="D6" s="5" t="s">
        <v>181</v>
      </c>
      <c r="E6" s="24">
        <v>233830.95</v>
      </c>
      <c r="F6" s="27">
        <v>233830.95</v>
      </c>
      <c r="G6" s="27">
        <v>233830.95</v>
      </c>
      <c r="H6" s="24">
        <v>233830.95</v>
      </c>
      <c r="I6" s="24">
        <v>233830.95</v>
      </c>
      <c r="J6" s="24">
        <v>170767.29</v>
      </c>
      <c r="K6" s="24">
        <v>170211.12</v>
      </c>
      <c r="L6" s="28">
        <v>170211.12</v>
      </c>
      <c r="M6" s="24">
        <v>180694.62</v>
      </c>
      <c r="N6" s="24">
        <v>180694.62</v>
      </c>
      <c r="O6" s="24">
        <v>180694.62</v>
      </c>
      <c r="P6" s="24"/>
      <c r="Q6" s="24">
        <f t="shared" si="0"/>
        <v>2222428.1400000006</v>
      </c>
      <c r="S6" s="24">
        <f>Monthly!J528</f>
        <v>2403122.75</v>
      </c>
      <c r="T6" s="24">
        <f t="shared" si="1"/>
        <v>180694.6099999994</v>
      </c>
      <c r="U6" s="50">
        <f>T6-Monthly!K528</f>
        <v>-5.8207660913467407E-10</v>
      </c>
    </row>
    <row r="7" spans="1:21" x14ac:dyDescent="0.25">
      <c r="A7" s="13" t="s">
        <v>89</v>
      </c>
      <c r="B7" s="5" t="s">
        <v>29</v>
      </c>
      <c r="C7" s="21" t="s">
        <v>50</v>
      </c>
      <c r="D7" s="5" t="s">
        <v>182</v>
      </c>
      <c r="E7" s="24">
        <v>196142.04</v>
      </c>
      <c r="F7" s="27">
        <v>196142.04</v>
      </c>
      <c r="G7" s="27">
        <v>196142.04</v>
      </c>
      <c r="H7" s="24">
        <v>196142.04</v>
      </c>
      <c r="I7" s="24">
        <v>196142.04</v>
      </c>
      <c r="J7" s="24">
        <v>70470.009999999995</v>
      </c>
      <c r="K7" s="24">
        <v>73240.83</v>
      </c>
      <c r="L7" s="28">
        <v>73240.83</v>
      </c>
      <c r="M7" s="24">
        <v>79407.59</v>
      </c>
      <c r="N7" s="24">
        <v>79407.59</v>
      </c>
      <c r="O7" s="24">
        <v>79407.58</v>
      </c>
      <c r="P7" s="24"/>
      <c r="Q7" s="24">
        <f t="shared" si="0"/>
        <v>1435884.6300000004</v>
      </c>
      <c r="S7" s="24">
        <f>Monthly!J529</f>
        <v>1515292.22</v>
      </c>
      <c r="T7" s="24">
        <f t="shared" si="1"/>
        <v>79407.589999999618</v>
      </c>
      <c r="U7" s="50">
        <f>T7-Monthly!K529</f>
        <v>-3.7834979593753815E-10</v>
      </c>
    </row>
    <row r="8" spans="1:21" x14ac:dyDescent="0.25">
      <c r="A8" s="13" t="s">
        <v>89</v>
      </c>
      <c r="B8" s="5" t="s">
        <v>29</v>
      </c>
      <c r="C8" s="21" t="s">
        <v>97</v>
      </c>
      <c r="D8" s="5" t="s">
        <v>183</v>
      </c>
      <c r="E8" s="24">
        <v>73344.490000000005</v>
      </c>
      <c r="F8" s="27">
        <v>73344.490000000005</v>
      </c>
      <c r="G8" s="27">
        <v>73344.490000000005</v>
      </c>
      <c r="H8" s="24">
        <v>73344.490000000005</v>
      </c>
      <c r="I8" s="24">
        <v>73344.490000000005</v>
      </c>
      <c r="J8" s="24">
        <v>67015.12</v>
      </c>
      <c r="K8" s="24">
        <v>67487.05</v>
      </c>
      <c r="L8" s="28">
        <v>67487.05</v>
      </c>
      <c r="M8" s="24">
        <v>70896.899999999994</v>
      </c>
      <c r="N8" s="24">
        <v>70896.899999999994</v>
      </c>
      <c r="O8" s="24">
        <v>70896.91</v>
      </c>
      <c r="P8" s="24"/>
      <c r="Q8" s="24">
        <f t="shared" si="0"/>
        <v>781402.38000000012</v>
      </c>
      <c r="S8" s="24">
        <f>Monthly!J530</f>
        <v>852299.28</v>
      </c>
      <c r="T8" s="24">
        <f t="shared" si="1"/>
        <v>70896.899999999907</v>
      </c>
      <c r="U8" s="50">
        <f>T8-Monthly!K530</f>
        <v>0</v>
      </c>
    </row>
    <row r="9" spans="1:21" x14ac:dyDescent="0.25">
      <c r="A9" s="15" t="s">
        <v>86</v>
      </c>
      <c r="B9" s="1" t="s">
        <v>85</v>
      </c>
      <c r="C9" s="22" t="s">
        <v>46</v>
      </c>
      <c r="D9" s="4" t="s">
        <v>184</v>
      </c>
      <c r="E9" s="24">
        <v>444829.45</v>
      </c>
      <c r="F9" s="27">
        <v>444829.45</v>
      </c>
      <c r="G9" s="27">
        <v>444829.45</v>
      </c>
      <c r="H9" s="24">
        <v>444829.45</v>
      </c>
      <c r="I9" s="24">
        <v>444829.45</v>
      </c>
      <c r="J9" s="24">
        <v>457307.16</v>
      </c>
      <c r="K9" s="24">
        <v>456697.3</v>
      </c>
      <c r="L9" s="28">
        <v>456697.29</v>
      </c>
      <c r="M9" s="24">
        <v>479447.1</v>
      </c>
      <c r="N9" s="24">
        <v>479447.09</v>
      </c>
      <c r="O9" s="24">
        <v>479447.1</v>
      </c>
      <c r="P9" s="24"/>
      <c r="Q9" s="24">
        <f t="shared" si="0"/>
        <v>5033190.29</v>
      </c>
      <c r="S9" s="24">
        <f>Monthly!J531</f>
        <v>5512637.3799999999</v>
      </c>
      <c r="T9" s="24">
        <f t="shared" si="1"/>
        <v>479447.08999999985</v>
      </c>
      <c r="U9" s="50">
        <f>T9-Monthly!K531</f>
        <v>0</v>
      </c>
    </row>
    <row r="10" spans="1:21" x14ac:dyDescent="0.25">
      <c r="A10" s="15" t="s">
        <v>86</v>
      </c>
      <c r="B10" s="5" t="s">
        <v>8</v>
      </c>
      <c r="C10" s="21" t="s">
        <v>45</v>
      </c>
      <c r="D10" s="18" t="s">
        <v>185</v>
      </c>
      <c r="E10" s="24">
        <v>535379.18000000005</v>
      </c>
      <c r="F10" s="27">
        <v>535379.18000000005</v>
      </c>
      <c r="G10" s="27">
        <v>535379.18000000005</v>
      </c>
      <c r="H10" s="24">
        <v>535379.18000000005</v>
      </c>
      <c r="I10" s="24">
        <v>535379.18000000005</v>
      </c>
      <c r="J10" s="24">
        <v>390243.76</v>
      </c>
      <c r="K10" s="24">
        <v>389991.61</v>
      </c>
      <c r="L10" s="28">
        <v>389991.61</v>
      </c>
      <c r="M10" s="24">
        <v>413433.03</v>
      </c>
      <c r="N10" s="24">
        <v>413433.02</v>
      </c>
      <c r="O10" s="24">
        <v>413433.03</v>
      </c>
      <c r="P10" s="24"/>
      <c r="Q10" s="24">
        <f t="shared" si="0"/>
        <v>5087421.96</v>
      </c>
      <c r="S10" s="24">
        <f>Monthly!J532</f>
        <v>5500854.9800000004</v>
      </c>
      <c r="T10" s="24">
        <f t="shared" si="1"/>
        <v>413433.02000000048</v>
      </c>
      <c r="U10" s="50">
        <f>T10-Monthly!K532</f>
        <v>4.6566128730773926E-10</v>
      </c>
    </row>
    <row r="11" spans="1:21" x14ac:dyDescent="0.25">
      <c r="A11" s="15" t="s">
        <v>90</v>
      </c>
      <c r="B11" s="5" t="s">
        <v>15</v>
      </c>
      <c r="C11" s="21" t="s">
        <v>55</v>
      </c>
      <c r="D11" s="5" t="s">
        <v>186</v>
      </c>
      <c r="E11" s="24">
        <v>365629.2</v>
      </c>
      <c r="F11" s="27">
        <v>365629.2</v>
      </c>
      <c r="G11" s="27">
        <v>365629.2</v>
      </c>
      <c r="H11" s="24">
        <v>365629.2</v>
      </c>
      <c r="I11" s="24">
        <v>365629.2</v>
      </c>
      <c r="J11" s="24">
        <v>324188.57</v>
      </c>
      <c r="K11" s="24">
        <v>324137.27</v>
      </c>
      <c r="L11" s="28">
        <v>324137.27</v>
      </c>
      <c r="M11" s="24">
        <v>341737.22</v>
      </c>
      <c r="N11" s="24">
        <v>341737.22</v>
      </c>
      <c r="O11" s="24">
        <v>341737.23</v>
      </c>
      <c r="P11" s="24"/>
      <c r="Q11" s="24">
        <f t="shared" si="0"/>
        <v>3825820.78</v>
      </c>
      <c r="S11" s="24">
        <f>Monthly!J533</f>
        <v>4167558</v>
      </c>
      <c r="T11" s="24">
        <f t="shared" si="1"/>
        <v>341737.2200000002</v>
      </c>
      <c r="U11" s="50">
        <f>T11-Monthly!K533</f>
        <v>0</v>
      </c>
    </row>
    <row r="12" spans="1:21" x14ac:dyDescent="0.25">
      <c r="A12" s="15" t="s">
        <v>90</v>
      </c>
      <c r="B12" s="5" t="s">
        <v>15</v>
      </c>
      <c r="C12" s="21" t="s">
        <v>56</v>
      </c>
      <c r="D12" s="5" t="s">
        <v>187</v>
      </c>
      <c r="E12" s="24">
        <v>158882.51</v>
      </c>
      <c r="F12" s="27">
        <v>158882.51</v>
      </c>
      <c r="G12" s="27">
        <v>158882.51</v>
      </c>
      <c r="H12" s="24">
        <v>158882.51</v>
      </c>
      <c r="I12" s="24">
        <v>158882.51</v>
      </c>
      <c r="J12" s="24">
        <v>158612.89000000001</v>
      </c>
      <c r="K12" s="24">
        <v>158586.49</v>
      </c>
      <c r="L12" s="28">
        <v>158586.49</v>
      </c>
      <c r="M12" s="24">
        <v>166987.04999999999</v>
      </c>
      <c r="N12" s="24">
        <v>166987.04999999999</v>
      </c>
      <c r="O12" s="24">
        <v>166987.04999999999</v>
      </c>
      <c r="P12" s="24"/>
      <c r="Q12" s="24">
        <f t="shared" si="0"/>
        <v>1771159.5700000003</v>
      </c>
      <c r="S12" s="24">
        <f>Monthly!J534</f>
        <v>1938146.62</v>
      </c>
      <c r="T12" s="24">
        <f t="shared" si="1"/>
        <v>166987.04999999981</v>
      </c>
      <c r="U12" s="50">
        <f>T12-Monthly!K534</f>
        <v>0</v>
      </c>
    </row>
    <row r="13" spans="1:21" x14ac:dyDescent="0.25">
      <c r="A13" s="15" t="s">
        <v>90</v>
      </c>
      <c r="B13" s="1" t="s">
        <v>15</v>
      </c>
      <c r="C13" s="22" t="s">
        <v>79</v>
      </c>
      <c r="D13" s="1" t="s">
        <v>77</v>
      </c>
      <c r="E13" s="24">
        <v>392220.42</v>
      </c>
      <c r="F13" s="27">
        <v>392220.42</v>
      </c>
      <c r="G13" s="27">
        <v>392220.42</v>
      </c>
      <c r="H13" s="24">
        <v>392220.42</v>
      </c>
      <c r="I13" s="24">
        <v>392220.42</v>
      </c>
      <c r="J13" s="24">
        <v>413620.44</v>
      </c>
      <c r="K13" s="24">
        <v>413391.63</v>
      </c>
      <c r="L13" s="28">
        <v>413391.63</v>
      </c>
      <c r="M13" s="24">
        <v>434705.71</v>
      </c>
      <c r="N13" s="24">
        <v>434705.71</v>
      </c>
      <c r="O13" s="24">
        <v>434705.71</v>
      </c>
      <c r="P13" s="24"/>
      <c r="Q13" s="24">
        <f t="shared" si="0"/>
        <v>4505622.93</v>
      </c>
      <c r="S13" s="24">
        <f>Monthly!J535</f>
        <v>4940328.6399999997</v>
      </c>
      <c r="T13" s="24">
        <f t="shared" si="1"/>
        <v>434705.70999999996</v>
      </c>
      <c r="U13" s="50">
        <f>T13-Monthly!K535</f>
        <v>0</v>
      </c>
    </row>
    <row r="14" spans="1:21" x14ac:dyDescent="0.25">
      <c r="A14" s="15" t="s">
        <v>90</v>
      </c>
      <c r="B14" s="1" t="s">
        <v>15</v>
      </c>
      <c r="C14" s="22" t="s">
        <v>54</v>
      </c>
      <c r="D14" s="1" t="s">
        <v>17</v>
      </c>
      <c r="E14" s="24">
        <v>268571.27</v>
      </c>
      <c r="F14" s="27">
        <v>268571.27</v>
      </c>
      <c r="G14" s="27">
        <v>268571.27</v>
      </c>
      <c r="H14" s="24">
        <v>268571.27</v>
      </c>
      <c r="I14" s="24">
        <v>268571.27</v>
      </c>
      <c r="J14" s="24">
        <v>223741.18</v>
      </c>
      <c r="K14" s="24">
        <v>223871.86</v>
      </c>
      <c r="L14" s="28">
        <v>223871.86</v>
      </c>
      <c r="M14" s="24">
        <v>236785.39</v>
      </c>
      <c r="N14" s="24">
        <v>236785.39</v>
      </c>
      <c r="O14" s="24">
        <v>236785.39</v>
      </c>
      <c r="P14" s="24"/>
      <c r="Q14" s="24">
        <f t="shared" si="0"/>
        <v>2724697.4200000004</v>
      </c>
      <c r="S14" s="24">
        <f>Monthly!J536</f>
        <v>2961482.8</v>
      </c>
      <c r="T14" s="24">
        <f t="shared" si="1"/>
        <v>236785.37999999942</v>
      </c>
      <c r="U14" s="50">
        <f>T14-Monthly!K536</f>
        <v>-5.8207660913467407E-10</v>
      </c>
    </row>
    <row r="15" spans="1:21" x14ac:dyDescent="0.25">
      <c r="A15" s="15" t="s">
        <v>90</v>
      </c>
      <c r="B15" s="1" t="s">
        <v>15</v>
      </c>
      <c r="C15" s="22" t="s">
        <v>114</v>
      </c>
      <c r="D15" s="1" t="s">
        <v>124</v>
      </c>
      <c r="E15" s="24">
        <v>127637.83</v>
      </c>
      <c r="F15" s="27">
        <v>127637.83</v>
      </c>
      <c r="G15" s="27">
        <v>127637.83</v>
      </c>
      <c r="H15" s="24">
        <v>127637.83</v>
      </c>
      <c r="I15" s="24">
        <v>127637.83</v>
      </c>
      <c r="J15" s="24">
        <v>162869.79999999999</v>
      </c>
      <c r="K15" s="24">
        <v>162847.13</v>
      </c>
      <c r="L15" s="28">
        <v>162847.12</v>
      </c>
      <c r="M15" s="24">
        <v>170419.46</v>
      </c>
      <c r="N15" s="24">
        <v>170419.45</v>
      </c>
      <c r="O15" s="24">
        <v>170419.46</v>
      </c>
      <c r="P15" s="24"/>
      <c r="Q15" s="24">
        <f t="shared" si="0"/>
        <v>1638011.5699999998</v>
      </c>
      <c r="S15" s="24">
        <f>Monthly!J537</f>
        <v>1808431.02</v>
      </c>
      <c r="T15" s="24">
        <f t="shared" si="1"/>
        <v>170419.45000000019</v>
      </c>
      <c r="U15" s="50">
        <f>T15-Monthly!K537</f>
        <v>0</v>
      </c>
    </row>
    <row r="16" spans="1:21" x14ac:dyDescent="0.25">
      <c r="A16" s="15" t="s">
        <v>90</v>
      </c>
      <c r="B16" s="1" t="s">
        <v>15</v>
      </c>
      <c r="C16" s="22" t="s">
        <v>118</v>
      </c>
      <c r="D16" s="4" t="s">
        <v>119</v>
      </c>
      <c r="E16" s="24">
        <v>174837.24</v>
      </c>
      <c r="F16" s="27">
        <v>174837.24</v>
      </c>
      <c r="G16" s="27">
        <v>174837.24</v>
      </c>
      <c r="H16" s="24">
        <v>174837.24</v>
      </c>
      <c r="I16" s="24">
        <v>174837.24</v>
      </c>
      <c r="J16" s="24">
        <v>263389.40999999997</v>
      </c>
      <c r="K16" s="24">
        <v>263182.25</v>
      </c>
      <c r="L16" s="28">
        <v>263182.25</v>
      </c>
      <c r="M16" s="24">
        <v>274608.36</v>
      </c>
      <c r="N16" s="24">
        <v>274608.36</v>
      </c>
      <c r="O16" s="24">
        <v>274608.36</v>
      </c>
      <c r="P16" s="24"/>
      <c r="Q16" s="24">
        <f t="shared" si="0"/>
        <v>2487765.1899999995</v>
      </c>
      <c r="S16" s="24">
        <f>Monthly!J538</f>
        <v>2762373.54</v>
      </c>
      <c r="T16" s="24">
        <f t="shared" si="1"/>
        <v>274608.35000000056</v>
      </c>
      <c r="U16" s="50">
        <f>T16-Monthly!K538</f>
        <v>5.8207660913467407E-10</v>
      </c>
    </row>
    <row r="17" spans="1:21" x14ac:dyDescent="0.25">
      <c r="A17" s="15" t="s">
        <v>90</v>
      </c>
      <c r="B17" s="1" t="s">
        <v>15</v>
      </c>
      <c r="C17" s="22" t="s">
        <v>58</v>
      </c>
      <c r="D17" s="1" t="s">
        <v>188</v>
      </c>
      <c r="E17" s="24">
        <v>215388.84</v>
      </c>
      <c r="F17" s="27">
        <v>215388.84</v>
      </c>
      <c r="G17" s="27">
        <v>215388.84</v>
      </c>
      <c r="H17" s="24">
        <v>215388.84</v>
      </c>
      <c r="I17" s="24">
        <v>215388.84</v>
      </c>
      <c r="J17" s="24">
        <v>183455.77</v>
      </c>
      <c r="K17" s="24">
        <v>183596.24</v>
      </c>
      <c r="L17" s="28">
        <v>183596.24</v>
      </c>
      <c r="M17" s="24">
        <v>193872.98</v>
      </c>
      <c r="N17" s="24">
        <v>193872.98</v>
      </c>
      <c r="O17" s="24">
        <v>193872.98</v>
      </c>
      <c r="P17" s="24"/>
      <c r="Q17" s="24">
        <f t="shared" si="0"/>
        <v>2209211.39</v>
      </c>
      <c r="S17" s="24">
        <f>Monthly!J539</f>
        <v>2403084.37</v>
      </c>
      <c r="T17" s="24">
        <f t="shared" si="1"/>
        <v>193872.97999999998</v>
      </c>
      <c r="U17" s="50">
        <f>T17-Monthly!K539</f>
        <v>0</v>
      </c>
    </row>
    <row r="18" spans="1:21" x14ac:dyDescent="0.25">
      <c r="A18" s="15" t="s">
        <v>90</v>
      </c>
      <c r="B18" s="1" t="s">
        <v>15</v>
      </c>
      <c r="C18" s="22" t="s">
        <v>71</v>
      </c>
      <c r="D18" s="4" t="s">
        <v>70</v>
      </c>
      <c r="E18" s="24">
        <v>46534.63</v>
      </c>
      <c r="F18" s="27">
        <v>46534.63</v>
      </c>
      <c r="G18" s="27">
        <v>46534.63</v>
      </c>
      <c r="H18" s="24">
        <v>46534.63</v>
      </c>
      <c r="I18" s="24">
        <v>46534.63</v>
      </c>
      <c r="J18" s="24">
        <v>29632.15</v>
      </c>
      <c r="K18" s="24">
        <v>29626.639999999999</v>
      </c>
      <c r="L18" s="28">
        <v>29626.639999999999</v>
      </c>
      <c r="M18" s="24">
        <v>31517.01</v>
      </c>
      <c r="N18" s="24">
        <v>31517</v>
      </c>
      <c r="O18" s="24">
        <v>31517.01</v>
      </c>
      <c r="P18" s="24"/>
      <c r="Q18" s="24">
        <f t="shared" si="0"/>
        <v>416109.60000000003</v>
      </c>
      <c r="S18" s="24">
        <f>Monthly!J540</f>
        <v>447626.6</v>
      </c>
      <c r="T18" s="24">
        <f t="shared" si="1"/>
        <v>31516.999999999942</v>
      </c>
      <c r="U18" s="50">
        <f>T18-Monthly!K540</f>
        <v>-5.8207660913467407E-11</v>
      </c>
    </row>
    <row r="19" spans="1:21" x14ac:dyDescent="0.25">
      <c r="A19" s="13" t="s">
        <v>90</v>
      </c>
      <c r="B19" s="7" t="s">
        <v>15</v>
      </c>
      <c r="C19" s="21" t="s">
        <v>57</v>
      </c>
      <c r="D19" s="7" t="s">
        <v>32</v>
      </c>
      <c r="E19" s="24">
        <v>217795.35</v>
      </c>
      <c r="F19" s="27">
        <v>217795.35</v>
      </c>
      <c r="G19" s="27">
        <v>217795.35</v>
      </c>
      <c r="H19" s="24">
        <v>217795.35</v>
      </c>
      <c r="I19" s="24">
        <v>217795.35</v>
      </c>
      <c r="J19" s="24">
        <v>195994.97</v>
      </c>
      <c r="K19" s="24">
        <v>196109.52</v>
      </c>
      <c r="L19" s="28">
        <v>196109.52</v>
      </c>
      <c r="M19" s="24">
        <v>207055.59</v>
      </c>
      <c r="N19" s="24">
        <v>207055.59</v>
      </c>
      <c r="O19" s="24">
        <v>207055.59</v>
      </c>
      <c r="P19" s="24"/>
      <c r="Q19" s="24">
        <f t="shared" si="0"/>
        <v>2298357.5300000003</v>
      </c>
      <c r="S19" s="24">
        <f>Monthly!J541</f>
        <v>2505413.12</v>
      </c>
      <c r="T19" s="24">
        <f t="shared" si="1"/>
        <v>207055.58999999985</v>
      </c>
      <c r="U19" s="50">
        <f>T19-Monthly!K541</f>
        <v>0</v>
      </c>
    </row>
    <row r="20" spans="1:21" x14ac:dyDescent="0.25">
      <c r="A20" s="13" t="s">
        <v>90</v>
      </c>
      <c r="B20" s="1" t="s">
        <v>15</v>
      </c>
      <c r="C20" s="21" t="s">
        <v>53</v>
      </c>
      <c r="D20" s="1" t="s">
        <v>189</v>
      </c>
      <c r="E20" s="24">
        <v>602955.80000000005</v>
      </c>
      <c r="F20" s="27">
        <v>602955.80000000005</v>
      </c>
      <c r="G20" s="27">
        <v>602955.80000000005</v>
      </c>
      <c r="H20" s="24">
        <v>602955.80000000005</v>
      </c>
      <c r="I20" s="24">
        <v>602955.80000000005</v>
      </c>
      <c r="J20" s="24">
        <v>551516.74</v>
      </c>
      <c r="K20" s="24">
        <v>551430.66</v>
      </c>
      <c r="L20" s="28">
        <v>551430.66</v>
      </c>
      <c r="M20" s="24">
        <v>580962.73</v>
      </c>
      <c r="N20" s="24">
        <v>580962.73</v>
      </c>
      <c r="O20" s="24">
        <v>580962.72</v>
      </c>
      <c r="P20" s="24"/>
      <c r="Q20" s="24">
        <f t="shared" si="0"/>
        <v>6412045.2400000012</v>
      </c>
      <c r="S20" s="24">
        <f>Monthly!J542</f>
        <v>6993007.9699999997</v>
      </c>
      <c r="T20" s="24">
        <f t="shared" si="1"/>
        <v>580962.72999999858</v>
      </c>
      <c r="U20" s="50">
        <f>T20-Monthly!K542</f>
        <v>-1.3969838619232178E-9</v>
      </c>
    </row>
    <row r="21" spans="1:21" x14ac:dyDescent="0.25">
      <c r="A21" s="13" t="s">
        <v>87</v>
      </c>
      <c r="B21" s="5" t="s">
        <v>87</v>
      </c>
      <c r="C21" s="21" t="s">
        <v>173</v>
      </c>
      <c r="D21" s="5" t="s">
        <v>190</v>
      </c>
      <c r="E21" s="24">
        <v>409861.78</v>
      </c>
      <c r="F21" s="27">
        <v>409861.78</v>
      </c>
      <c r="G21" s="27">
        <v>409861.78</v>
      </c>
      <c r="H21" s="24">
        <v>409861.78</v>
      </c>
      <c r="I21" s="24">
        <v>409861.78</v>
      </c>
      <c r="J21" s="24">
        <v>359185.11</v>
      </c>
      <c r="K21" s="24">
        <v>359170.31</v>
      </c>
      <c r="L21" s="28">
        <v>359170.31</v>
      </c>
      <c r="M21" s="24">
        <v>378773.81</v>
      </c>
      <c r="N21" s="24">
        <v>378773.81</v>
      </c>
      <c r="O21" s="24">
        <v>378773.82</v>
      </c>
      <c r="P21" s="24"/>
      <c r="Q21" s="24">
        <f t="shared" si="0"/>
        <v>4263156.07</v>
      </c>
      <c r="S21" s="24">
        <f>Monthly!J543</f>
        <v>4641929.88</v>
      </c>
      <c r="T21" s="24">
        <f t="shared" si="1"/>
        <v>378773.80999999959</v>
      </c>
      <c r="U21" s="50">
        <f>T21-Monthly!K543</f>
        <v>0</v>
      </c>
    </row>
    <row r="22" spans="1:21" x14ac:dyDescent="0.25">
      <c r="A22" s="13" t="s">
        <v>87</v>
      </c>
      <c r="B22" s="1" t="s">
        <v>87</v>
      </c>
      <c r="C22" s="22" t="s">
        <v>51</v>
      </c>
      <c r="D22" s="1" t="s">
        <v>191</v>
      </c>
      <c r="E22" s="24">
        <v>543205.89</v>
      </c>
      <c r="F22" s="27">
        <v>543205.89</v>
      </c>
      <c r="G22" s="27">
        <v>543205.89</v>
      </c>
      <c r="H22" s="24">
        <v>543205.89</v>
      </c>
      <c r="I22" s="24">
        <v>543205.89</v>
      </c>
      <c r="J22" s="24">
        <v>519249.84</v>
      </c>
      <c r="K22" s="24">
        <v>519158.5</v>
      </c>
      <c r="L22" s="28">
        <v>519158.5</v>
      </c>
      <c r="M22" s="24">
        <v>546631.61</v>
      </c>
      <c r="N22" s="24">
        <v>546631.61</v>
      </c>
      <c r="O22" s="24">
        <v>546631.61</v>
      </c>
      <c r="P22" s="24"/>
      <c r="Q22" s="24">
        <f t="shared" si="0"/>
        <v>5913491.120000001</v>
      </c>
      <c r="S22" s="24">
        <f>Monthly!J544</f>
        <v>6460122.7199999997</v>
      </c>
      <c r="T22" s="24">
        <f t="shared" si="1"/>
        <v>546631.5999999987</v>
      </c>
      <c r="U22" s="50">
        <f>T22-Monthly!K544</f>
        <v>-1.280568540096283E-9</v>
      </c>
    </row>
    <row r="23" spans="1:21" x14ac:dyDescent="0.25">
      <c r="A23" s="13" t="s">
        <v>91</v>
      </c>
      <c r="B23" s="7" t="s">
        <v>21</v>
      </c>
      <c r="C23" s="22" t="s">
        <v>61</v>
      </c>
      <c r="D23" s="7" t="s">
        <v>192</v>
      </c>
      <c r="E23" s="24">
        <v>128189.4</v>
      </c>
      <c r="F23" s="27">
        <v>128189.4</v>
      </c>
      <c r="G23" s="27">
        <v>128189.4</v>
      </c>
      <c r="H23" s="24">
        <v>128189.4</v>
      </c>
      <c r="I23" s="24">
        <v>128189.4</v>
      </c>
      <c r="J23" s="24">
        <v>127353.97</v>
      </c>
      <c r="K23" s="24">
        <v>127332.68</v>
      </c>
      <c r="L23" s="28">
        <v>127332.68</v>
      </c>
      <c r="M23" s="24">
        <v>133891.72</v>
      </c>
      <c r="N23" s="24">
        <v>133891.72</v>
      </c>
      <c r="O23" s="24">
        <v>133891.72</v>
      </c>
      <c r="P23" s="24"/>
      <c r="Q23" s="24">
        <f t="shared" si="0"/>
        <v>1424641.4899999998</v>
      </c>
      <c r="S23" s="24">
        <f>Monthly!J545</f>
        <v>1558533.21</v>
      </c>
      <c r="T23" s="24">
        <f t="shared" si="1"/>
        <v>133891.7200000002</v>
      </c>
      <c r="U23" s="50">
        <f>T23-Monthly!K545</f>
        <v>0</v>
      </c>
    </row>
    <row r="24" spans="1:21" x14ac:dyDescent="0.25">
      <c r="A24" s="13" t="s">
        <v>91</v>
      </c>
      <c r="B24" s="5" t="s">
        <v>21</v>
      </c>
      <c r="C24" s="21" t="s">
        <v>62</v>
      </c>
      <c r="D24" s="5" t="s">
        <v>23</v>
      </c>
      <c r="E24" s="24">
        <v>161905.88</v>
      </c>
      <c r="F24" s="27">
        <v>161905.88</v>
      </c>
      <c r="G24" s="27">
        <v>161905.88</v>
      </c>
      <c r="H24" s="24">
        <v>161905.88</v>
      </c>
      <c r="I24" s="24">
        <v>161905.88</v>
      </c>
      <c r="J24" s="24">
        <v>157135.82999999999</v>
      </c>
      <c r="K24" s="24">
        <v>157108.99</v>
      </c>
      <c r="L24" s="28">
        <v>157108.99</v>
      </c>
      <c r="M24" s="24">
        <v>165379.07999999999</v>
      </c>
      <c r="N24" s="24">
        <v>165379.07999999999</v>
      </c>
      <c r="O24" s="24">
        <v>165379.07999999999</v>
      </c>
      <c r="P24" s="24"/>
      <c r="Q24" s="24">
        <f t="shared" si="0"/>
        <v>1777020.4500000002</v>
      </c>
      <c r="S24" s="24">
        <f>Monthly!J546</f>
        <v>1942399.52</v>
      </c>
      <c r="T24" s="24">
        <f t="shared" si="1"/>
        <v>165379.06999999983</v>
      </c>
      <c r="U24" s="50">
        <f>T24-Monthly!K546</f>
        <v>0</v>
      </c>
    </row>
    <row r="25" spans="1:21" x14ac:dyDescent="0.25">
      <c r="A25" s="13" t="s">
        <v>13</v>
      </c>
      <c r="B25" s="5" t="s">
        <v>13</v>
      </c>
      <c r="C25" s="21" t="s">
        <v>52</v>
      </c>
      <c r="D25" s="5" t="s">
        <v>193</v>
      </c>
      <c r="E25" s="24">
        <v>218809.65</v>
      </c>
      <c r="F25" s="27">
        <v>218809.65</v>
      </c>
      <c r="G25" s="27">
        <v>218809.65</v>
      </c>
      <c r="H25" s="24">
        <v>218809.65</v>
      </c>
      <c r="I25" s="24">
        <v>218809.65</v>
      </c>
      <c r="J25" s="24">
        <v>201504.23</v>
      </c>
      <c r="K25" s="24">
        <v>201468.52</v>
      </c>
      <c r="L25" s="28">
        <v>201468.52</v>
      </c>
      <c r="M25" s="24">
        <v>212460.44</v>
      </c>
      <c r="N25" s="24">
        <v>212460.43</v>
      </c>
      <c r="O25" s="24">
        <v>212460.44</v>
      </c>
      <c r="P25" s="24"/>
      <c r="Q25" s="24">
        <f t="shared" si="0"/>
        <v>2335870.83</v>
      </c>
      <c r="S25" s="24">
        <f>Monthly!J547</f>
        <v>2548331.2599999998</v>
      </c>
      <c r="T25" s="24">
        <f t="shared" si="1"/>
        <v>212460.4299999997</v>
      </c>
      <c r="U25" s="50">
        <f>T25-Monthly!K547</f>
        <v>-2.9103830456733704E-10</v>
      </c>
    </row>
    <row r="26" spans="1:21" x14ac:dyDescent="0.25">
      <c r="A26" s="13" t="s">
        <v>84</v>
      </c>
      <c r="B26" s="1" t="s">
        <v>84</v>
      </c>
      <c r="C26" s="22" t="s">
        <v>96</v>
      </c>
      <c r="D26" s="1" t="s">
        <v>83</v>
      </c>
      <c r="E26" s="24">
        <v>453444.73</v>
      </c>
      <c r="F26" s="27">
        <v>453444.73</v>
      </c>
      <c r="G26" s="27">
        <v>453444.73</v>
      </c>
      <c r="H26" s="24">
        <v>453444.73</v>
      </c>
      <c r="I26" s="24">
        <v>453444.73</v>
      </c>
      <c r="J26" s="24">
        <v>452002.76</v>
      </c>
      <c r="K26" s="24">
        <v>451988.62</v>
      </c>
      <c r="L26" s="28">
        <v>451988.62</v>
      </c>
      <c r="M26" s="24">
        <v>475319.2</v>
      </c>
      <c r="N26" s="24">
        <v>475319.2</v>
      </c>
      <c r="O26" s="24">
        <v>475319.21</v>
      </c>
      <c r="P26" s="24"/>
      <c r="Q26" s="24">
        <f t="shared" si="0"/>
        <v>5049161.2600000007</v>
      </c>
      <c r="S26" s="24">
        <f>Monthly!J548</f>
        <v>5524480.46</v>
      </c>
      <c r="T26" s="24">
        <f t="shared" si="1"/>
        <v>475319.19999999925</v>
      </c>
      <c r="U26" s="50">
        <f>T26-Monthly!K548</f>
        <v>-7.5669959187507629E-10</v>
      </c>
    </row>
    <row r="27" spans="1:21" x14ac:dyDescent="0.25">
      <c r="A27" s="13" t="s">
        <v>88</v>
      </c>
      <c r="B27" s="1" t="s">
        <v>25</v>
      </c>
      <c r="C27" s="22" t="s">
        <v>65</v>
      </c>
      <c r="D27" s="1" t="s">
        <v>26</v>
      </c>
      <c r="E27" s="24">
        <v>551662.52</v>
      </c>
      <c r="F27" s="27">
        <v>551662.52</v>
      </c>
      <c r="G27" s="27">
        <v>551662.52</v>
      </c>
      <c r="H27" s="24">
        <v>551662.52</v>
      </c>
      <c r="I27" s="24">
        <v>551662.52</v>
      </c>
      <c r="J27" s="24">
        <v>566691.88</v>
      </c>
      <c r="K27" s="24">
        <v>566607.68000000005</v>
      </c>
      <c r="L27" s="28">
        <v>566607.68000000005</v>
      </c>
      <c r="M27" s="24">
        <v>595494.42000000004</v>
      </c>
      <c r="N27" s="24">
        <v>595494.42000000004</v>
      </c>
      <c r="O27" s="24">
        <v>595494.42000000004</v>
      </c>
      <c r="P27" s="24"/>
      <c r="Q27" s="24">
        <f t="shared" si="0"/>
        <v>6244703.0999999996</v>
      </c>
      <c r="S27" s="24">
        <f>Monthly!J549</f>
        <v>6840197.5099999998</v>
      </c>
      <c r="T27" s="24">
        <f t="shared" si="1"/>
        <v>595494.41000000015</v>
      </c>
      <c r="U27" s="50">
        <f>T27-Monthly!K549</f>
        <v>0</v>
      </c>
    </row>
    <row r="28" spans="1:21" x14ac:dyDescent="0.25">
      <c r="A28" s="13" t="s">
        <v>88</v>
      </c>
      <c r="B28" s="1" t="s">
        <v>25</v>
      </c>
      <c r="C28" s="22" t="s">
        <v>81</v>
      </c>
      <c r="D28" s="1" t="s">
        <v>194</v>
      </c>
      <c r="E28" s="24">
        <v>38948.400000000001</v>
      </c>
      <c r="F28" s="27">
        <v>38948.400000000001</v>
      </c>
      <c r="G28" s="27">
        <v>38948.400000000001</v>
      </c>
      <c r="H28" s="24">
        <v>38948.400000000001</v>
      </c>
      <c r="I28" s="24">
        <v>38948.400000000001</v>
      </c>
      <c r="J28" s="24">
        <v>29630.959999999999</v>
      </c>
      <c r="K28" s="24">
        <v>29625.919999999998</v>
      </c>
      <c r="L28" s="28">
        <v>29625.919999999998</v>
      </c>
      <c r="M28" s="24">
        <v>31353.33</v>
      </c>
      <c r="N28" s="24">
        <v>31353.32</v>
      </c>
      <c r="O28" s="24">
        <v>31353.33</v>
      </c>
      <c r="P28" s="24"/>
      <c r="Q28" s="24">
        <f t="shared" si="0"/>
        <v>377684.78</v>
      </c>
      <c r="S28" s="24">
        <f>Monthly!J550</f>
        <v>409038.1</v>
      </c>
      <c r="T28" s="24">
        <f t="shared" si="1"/>
        <v>31353.319999999949</v>
      </c>
      <c r="U28" s="50">
        <f>T28-Monthly!K550</f>
        <v>-5.0931703299283981E-11</v>
      </c>
    </row>
    <row r="29" spans="1:21" x14ac:dyDescent="0.25">
      <c r="A29" s="13" t="s">
        <v>92</v>
      </c>
      <c r="B29" s="1" t="s">
        <v>24</v>
      </c>
      <c r="C29" s="22" t="s">
        <v>63</v>
      </c>
      <c r="D29" s="1" t="s">
        <v>195</v>
      </c>
      <c r="E29" s="24">
        <v>124662.23</v>
      </c>
      <c r="F29" s="27">
        <v>124662.23</v>
      </c>
      <c r="G29" s="27">
        <v>124662.23</v>
      </c>
      <c r="H29" s="24">
        <v>124662.23</v>
      </c>
      <c r="I29" s="24">
        <v>124662.23</v>
      </c>
      <c r="J29" s="24">
        <v>111492.91</v>
      </c>
      <c r="K29" s="24">
        <v>111475.33</v>
      </c>
      <c r="L29" s="28">
        <v>111475.33</v>
      </c>
      <c r="M29" s="24">
        <v>117504.95</v>
      </c>
      <c r="N29" s="24">
        <v>117504.94</v>
      </c>
      <c r="O29" s="24">
        <v>117504.95</v>
      </c>
      <c r="P29" s="24"/>
      <c r="Q29" s="24">
        <f t="shared" si="0"/>
        <v>1310269.5599999998</v>
      </c>
      <c r="S29" s="24">
        <f>Monthly!J551</f>
        <v>1427774.5</v>
      </c>
      <c r="T29" s="24">
        <f t="shared" si="1"/>
        <v>117504.94000000018</v>
      </c>
      <c r="U29" s="50">
        <f>T29-Monthly!K551</f>
        <v>1.7462298274040222E-10</v>
      </c>
    </row>
    <row r="30" spans="1:21" x14ac:dyDescent="0.25">
      <c r="A30" s="13" t="s">
        <v>92</v>
      </c>
      <c r="B30" s="1" t="s">
        <v>24</v>
      </c>
      <c r="C30" s="22" t="s">
        <v>174</v>
      </c>
      <c r="D30" s="1" t="s">
        <v>196</v>
      </c>
      <c r="E30" s="24">
        <v>143664.21</v>
      </c>
      <c r="F30" s="27">
        <v>143664.21</v>
      </c>
      <c r="G30" s="27">
        <v>143664.21</v>
      </c>
      <c r="H30" s="24">
        <v>143664.21</v>
      </c>
      <c r="I30" s="24">
        <v>143664.21</v>
      </c>
      <c r="J30" s="24">
        <v>161333.23000000001</v>
      </c>
      <c r="K30" s="24">
        <v>161310.1</v>
      </c>
      <c r="L30" s="28">
        <v>161310.1</v>
      </c>
      <c r="M30" s="24">
        <v>169246.37</v>
      </c>
      <c r="N30" s="24">
        <v>169246.37</v>
      </c>
      <c r="O30" s="24">
        <v>169246.37</v>
      </c>
      <c r="P30" s="24"/>
      <c r="Q30" s="24">
        <f t="shared" si="0"/>
        <v>1710013.5900000003</v>
      </c>
      <c r="S30" s="24">
        <f>Monthly!J552</f>
        <v>1879259.95</v>
      </c>
      <c r="T30" s="24">
        <f t="shared" si="1"/>
        <v>169246.35999999964</v>
      </c>
      <c r="U30" s="50">
        <f>T30-Monthly!K552</f>
        <v>-3.4924596548080444E-10</v>
      </c>
    </row>
    <row r="31" spans="1:21" x14ac:dyDescent="0.25">
      <c r="A31" s="13" t="s">
        <v>92</v>
      </c>
      <c r="B31" s="1" t="s">
        <v>24</v>
      </c>
      <c r="C31" s="22" t="s">
        <v>115</v>
      </c>
      <c r="D31" s="1" t="s">
        <v>120</v>
      </c>
      <c r="E31" s="24">
        <v>105992.26</v>
      </c>
      <c r="F31" s="27">
        <v>105992.26</v>
      </c>
      <c r="G31" s="27">
        <v>105992.26</v>
      </c>
      <c r="H31" s="24">
        <v>105992.26</v>
      </c>
      <c r="I31" s="24">
        <v>105992.26</v>
      </c>
      <c r="J31" s="24">
        <v>131332.51</v>
      </c>
      <c r="K31" s="24">
        <v>131314.37</v>
      </c>
      <c r="L31" s="28">
        <v>131314.37</v>
      </c>
      <c r="M31" s="24">
        <v>137539.54</v>
      </c>
      <c r="N31" s="24">
        <v>137539.54</v>
      </c>
      <c r="O31" s="24">
        <v>137539.54</v>
      </c>
      <c r="P31" s="24"/>
      <c r="Q31" s="24">
        <f t="shared" si="0"/>
        <v>1336541.17</v>
      </c>
      <c r="S31" s="24">
        <f>Monthly!J553</f>
        <v>1474080.7</v>
      </c>
      <c r="T31" s="24">
        <f t="shared" si="1"/>
        <v>137539.53000000003</v>
      </c>
      <c r="U31" s="50">
        <f>T31-Monthly!K553</f>
        <v>0</v>
      </c>
    </row>
    <row r="32" spans="1:21" x14ac:dyDescent="0.25">
      <c r="A32" s="13" t="s">
        <v>92</v>
      </c>
      <c r="B32" s="1" t="s">
        <v>24</v>
      </c>
      <c r="C32" s="22" t="s">
        <v>117</v>
      </c>
      <c r="D32" s="1" t="s">
        <v>197</v>
      </c>
      <c r="E32" s="24">
        <v>149730.04</v>
      </c>
      <c r="F32" s="27">
        <v>149730.04</v>
      </c>
      <c r="G32" s="27">
        <v>149730.04</v>
      </c>
      <c r="H32" s="24">
        <v>149730.04</v>
      </c>
      <c r="I32" s="24">
        <v>149730.04</v>
      </c>
      <c r="J32" s="24">
        <v>560351.57999999996</v>
      </c>
      <c r="K32" s="24">
        <v>560293.1</v>
      </c>
      <c r="L32" s="28">
        <v>560293.09</v>
      </c>
      <c r="M32" s="24">
        <v>580357.04</v>
      </c>
      <c r="N32" s="24">
        <v>580357.04</v>
      </c>
      <c r="O32" s="24">
        <v>580357.04</v>
      </c>
      <c r="P32" s="24"/>
      <c r="Q32" s="24">
        <f t="shared" si="0"/>
        <v>4170659.09</v>
      </c>
      <c r="S32" s="24">
        <f>Monthly!J554</f>
        <v>4751016.12</v>
      </c>
      <c r="T32" s="24">
        <f t="shared" si="1"/>
        <v>580357.03000000026</v>
      </c>
      <c r="U32" s="50">
        <f>T32-Monthly!K554</f>
        <v>0</v>
      </c>
    </row>
    <row r="33" spans="1:21" x14ac:dyDescent="0.25">
      <c r="A33" s="13" t="s">
        <v>92</v>
      </c>
      <c r="B33" s="1" t="s">
        <v>24</v>
      </c>
      <c r="C33" s="22" t="s">
        <v>64</v>
      </c>
      <c r="D33" s="1" t="s">
        <v>198</v>
      </c>
      <c r="E33" s="24">
        <v>833252.44</v>
      </c>
      <c r="F33" s="27">
        <v>833252.44</v>
      </c>
      <c r="G33" s="27">
        <v>833252.44</v>
      </c>
      <c r="H33" s="24">
        <v>833252.44</v>
      </c>
      <c r="I33" s="24">
        <v>833252.44</v>
      </c>
      <c r="J33" s="24">
        <v>784733.5</v>
      </c>
      <c r="K33" s="24">
        <v>784612.57</v>
      </c>
      <c r="L33" s="28">
        <v>784612.56</v>
      </c>
      <c r="M33" s="24">
        <v>826102.82</v>
      </c>
      <c r="N33" s="24">
        <v>826102.82</v>
      </c>
      <c r="O33" s="24">
        <v>826102.81</v>
      </c>
      <c r="P33" s="24"/>
      <c r="Q33" s="24">
        <f t="shared" si="0"/>
        <v>8998529.2800000012</v>
      </c>
      <c r="S33" s="24">
        <f>Monthly!J555</f>
        <v>9824632.0999999996</v>
      </c>
      <c r="T33" s="24">
        <f t="shared" si="1"/>
        <v>826102.81999999844</v>
      </c>
      <c r="U33" s="50">
        <f>T33-Monthly!K555</f>
        <v>-1.5133991837501526E-9</v>
      </c>
    </row>
    <row r="34" spans="1:21" x14ac:dyDescent="0.25">
      <c r="A34" s="13" t="s">
        <v>92</v>
      </c>
      <c r="B34" s="1" t="s">
        <v>24</v>
      </c>
      <c r="C34" s="22" t="s">
        <v>116</v>
      </c>
      <c r="D34" s="1" t="s">
        <v>199</v>
      </c>
      <c r="E34" s="24">
        <v>63850.76</v>
      </c>
      <c r="F34" s="27">
        <v>63850.76</v>
      </c>
      <c r="G34" s="27">
        <v>63850.76</v>
      </c>
      <c r="H34" s="24">
        <v>63850.76</v>
      </c>
      <c r="I34" s="24">
        <v>63850.76</v>
      </c>
      <c r="J34" s="24">
        <v>193411.16</v>
      </c>
      <c r="K34" s="24">
        <v>193390.22</v>
      </c>
      <c r="L34" s="28">
        <v>193390.22</v>
      </c>
      <c r="M34" s="24">
        <v>200576.86</v>
      </c>
      <c r="N34" s="24">
        <v>200576.86</v>
      </c>
      <c r="O34" s="24">
        <v>200576.87</v>
      </c>
      <c r="P34" s="24"/>
      <c r="Q34" s="24">
        <f t="shared" si="0"/>
        <v>1501175.9899999998</v>
      </c>
      <c r="S34" s="24">
        <f>Monthly!J556</f>
        <v>1701752.85</v>
      </c>
      <c r="T34" s="24">
        <f t="shared" si="1"/>
        <v>200576.86000000034</v>
      </c>
      <c r="U34" s="50">
        <f>T34-Monthly!K556</f>
        <v>3.4924596548080444E-10</v>
      </c>
    </row>
    <row r="35" spans="1:21" x14ac:dyDescent="0.25">
      <c r="A35" s="13" t="s">
        <v>93</v>
      </c>
      <c r="B35" s="5" t="s">
        <v>19</v>
      </c>
      <c r="C35" s="21" t="s">
        <v>59</v>
      </c>
      <c r="D35" s="5" t="s">
        <v>200</v>
      </c>
      <c r="E35" s="24">
        <v>208592.84</v>
      </c>
      <c r="F35" s="27">
        <v>208592.84</v>
      </c>
      <c r="G35" s="27">
        <v>208592.84</v>
      </c>
      <c r="H35" s="24">
        <v>208592.84</v>
      </c>
      <c r="I35" s="24">
        <v>208592.84</v>
      </c>
      <c r="J35" s="24">
        <v>213532.89</v>
      </c>
      <c r="K35" s="24">
        <v>213670.65</v>
      </c>
      <c r="L35" s="28">
        <v>213670.65</v>
      </c>
      <c r="M35" s="24">
        <v>224699.22</v>
      </c>
      <c r="N35" s="24">
        <v>224699.22</v>
      </c>
      <c r="O35" s="24">
        <v>224699.22</v>
      </c>
      <c r="P35" s="24"/>
      <c r="Q35" s="24">
        <f t="shared" si="0"/>
        <v>2357936.0499999998</v>
      </c>
      <c r="S35" s="24">
        <f>Monthly!J557</f>
        <v>2582635.27</v>
      </c>
      <c r="T35" s="24">
        <f t="shared" si="1"/>
        <v>224699.2200000002</v>
      </c>
      <c r="U35" s="50">
        <f>T35-Monthly!K557</f>
        <v>0</v>
      </c>
    </row>
    <row r="36" spans="1:21" x14ac:dyDescent="0.25">
      <c r="A36" s="13" t="s">
        <v>93</v>
      </c>
      <c r="B36" s="7" t="s">
        <v>19</v>
      </c>
      <c r="C36" s="22" t="s">
        <v>60</v>
      </c>
      <c r="D36" s="7" t="s">
        <v>201</v>
      </c>
      <c r="E36" s="24">
        <v>252397.34</v>
      </c>
      <c r="F36" s="27">
        <v>252397.34</v>
      </c>
      <c r="G36" s="27">
        <v>252397.34</v>
      </c>
      <c r="H36" s="24">
        <v>252397.34</v>
      </c>
      <c r="I36" s="24">
        <v>252397.34</v>
      </c>
      <c r="J36" s="24">
        <v>244160.81</v>
      </c>
      <c r="K36" s="24">
        <v>244118.01</v>
      </c>
      <c r="L36" s="28">
        <v>244118.01</v>
      </c>
      <c r="M36" s="24">
        <v>257246.59</v>
      </c>
      <c r="N36" s="24">
        <v>257246.59</v>
      </c>
      <c r="O36" s="24">
        <v>257246.59</v>
      </c>
      <c r="P36" s="24"/>
      <c r="Q36" s="24">
        <f t="shared" si="0"/>
        <v>2766123.3</v>
      </c>
      <c r="S36" s="24">
        <f>Monthly!J558</f>
        <v>3023369.88</v>
      </c>
      <c r="T36" s="24">
        <f t="shared" si="1"/>
        <v>257246.58000000007</v>
      </c>
      <c r="U36" s="50">
        <f>T36-Monthly!K558</f>
        <v>0</v>
      </c>
    </row>
    <row r="37" spans="1:21" x14ac:dyDescent="0.25">
      <c r="A37" s="13" t="s">
        <v>94</v>
      </c>
      <c r="B37" s="5" t="s">
        <v>40</v>
      </c>
      <c r="C37" s="21" t="s">
        <v>82</v>
      </c>
      <c r="D37" s="5" t="s">
        <v>202</v>
      </c>
      <c r="E37" s="24">
        <v>56901.84</v>
      </c>
      <c r="F37" s="27">
        <v>56901.84</v>
      </c>
      <c r="G37" s="27">
        <v>56901.84</v>
      </c>
      <c r="H37" s="24">
        <v>56901.84</v>
      </c>
      <c r="I37" s="24">
        <v>56901.84</v>
      </c>
      <c r="J37" s="24">
        <v>54403.33</v>
      </c>
      <c r="K37" s="24">
        <v>54393.65</v>
      </c>
      <c r="L37" s="28">
        <v>54393.65</v>
      </c>
      <c r="M37" s="24">
        <v>57330.34</v>
      </c>
      <c r="N37" s="24">
        <v>57330.33</v>
      </c>
      <c r="O37" s="24">
        <v>57330.34</v>
      </c>
      <c r="P37" s="24"/>
      <c r="Q37" s="24">
        <f t="shared" si="0"/>
        <v>619690.84</v>
      </c>
      <c r="S37" s="24">
        <f>Monthly!J559</f>
        <v>677021.17</v>
      </c>
      <c r="T37" s="24">
        <f t="shared" si="1"/>
        <v>57330.330000000075</v>
      </c>
      <c r="U37" s="50">
        <f>T37-Monthly!K559</f>
        <v>7.2759576141834259E-11</v>
      </c>
    </row>
    <row r="38" spans="1:21" x14ac:dyDescent="0.25">
      <c r="A38" s="13" t="s">
        <v>95</v>
      </c>
      <c r="B38" s="5" t="s">
        <v>175</v>
      </c>
      <c r="C38" s="21" t="s">
        <v>74</v>
      </c>
      <c r="D38" s="5" t="s">
        <v>203</v>
      </c>
      <c r="E38" s="24">
        <v>88626.1</v>
      </c>
      <c r="F38">
        <v>88626.1</v>
      </c>
      <c r="G38">
        <v>88626.1</v>
      </c>
      <c r="H38">
        <v>88626.1</v>
      </c>
      <c r="I38">
        <v>88626.1</v>
      </c>
      <c r="J38">
        <v>88432.17</v>
      </c>
      <c r="K38">
        <v>88241.23</v>
      </c>
      <c r="L38">
        <v>88241.23</v>
      </c>
      <c r="M38">
        <v>92861.62</v>
      </c>
      <c r="N38">
        <v>92861.62</v>
      </c>
      <c r="O38">
        <v>92861.62</v>
      </c>
      <c r="Q38" s="24">
        <f t="shared" si="0"/>
        <v>986629.99</v>
      </c>
      <c r="S38" s="24">
        <f>Monthly!J560</f>
        <v>1079491.6000000001</v>
      </c>
      <c r="T38" s="24">
        <f t="shared" si="1"/>
        <v>92861.610000000102</v>
      </c>
      <c r="U38" s="50">
        <f>T38-Monthly!K560</f>
        <v>0</v>
      </c>
    </row>
    <row r="39" spans="1:21" x14ac:dyDescent="0.25">
      <c r="A39" s="13" t="s">
        <v>86</v>
      </c>
      <c r="B39" s="5" t="s">
        <v>176</v>
      </c>
      <c r="C39" s="21" t="s">
        <v>67</v>
      </c>
      <c r="D39" s="5" t="s">
        <v>204</v>
      </c>
      <c r="E39" s="24">
        <v>335394.92</v>
      </c>
      <c r="F39">
        <v>335394.92</v>
      </c>
      <c r="G39">
        <v>335394.92</v>
      </c>
      <c r="H39">
        <v>335394.92</v>
      </c>
      <c r="I39">
        <v>335394.92</v>
      </c>
      <c r="J39">
        <v>288411.69</v>
      </c>
      <c r="K39">
        <v>288359.02</v>
      </c>
      <c r="L39">
        <v>288359.02</v>
      </c>
      <c r="M39">
        <v>304854.92</v>
      </c>
      <c r="N39">
        <v>304854.92</v>
      </c>
      <c r="O39">
        <v>304854.92</v>
      </c>
      <c r="Q39" s="24">
        <f t="shared" si="0"/>
        <v>3456669.0899999994</v>
      </c>
      <c r="S39" s="24">
        <f>Monthly!J561</f>
        <v>3761524</v>
      </c>
      <c r="T39" s="24">
        <f t="shared" si="1"/>
        <v>304854.91000000061</v>
      </c>
      <c r="U39" s="50">
        <f>T39-Monthly!K561</f>
        <v>6.4028427004814148E-10</v>
      </c>
    </row>
    <row r="40" spans="1:21" x14ac:dyDescent="0.25">
      <c r="A40" t="s">
        <v>86</v>
      </c>
      <c r="B40" t="s">
        <v>176</v>
      </c>
      <c r="C40" t="s">
        <v>47</v>
      </c>
      <c r="D40" t="s">
        <v>205</v>
      </c>
      <c r="E40" s="24">
        <v>221217.92000000001</v>
      </c>
      <c r="F40">
        <v>221217.92000000001</v>
      </c>
      <c r="G40">
        <v>221217.92000000001</v>
      </c>
      <c r="H40">
        <v>221217.92000000001</v>
      </c>
      <c r="I40">
        <v>221217.92000000001</v>
      </c>
      <c r="J40">
        <v>167059.69</v>
      </c>
      <c r="K40">
        <v>167029.01</v>
      </c>
      <c r="L40">
        <v>167029</v>
      </c>
      <c r="M40">
        <v>176933.52</v>
      </c>
      <c r="N40">
        <v>176933.52</v>
      </c>
      <c r="O40">
        <v>176933.52</v>
      </c>
      <c r="Q40" s="24">
        <f t="shared" si="0"/>
        <v>2138007.86</v>
      </c>
      <c r="S40" s="24">
        <f>Monthly!J562</f>
        <v>2314941.38</v>
      </c>
      <c r="T40" s="24">
        <f t="shared" si="1"/>
        <v>176933.52000000002</v>
      </c>
      <c r="U40" s="50">
        <f>T40-Monthly!K562</f>
        <v>0</v>
      </c>
    </row>
    <row r="41" spans="1:21" x14ac:dyDescent="0.25">
      <c r="A41" s="13" t="s">
        <v>86</v>
      </c>
      <c r="B41" t="s">
        <v>176</v>
      </c>
      <c r="C41" t="s">
        <v>48</v>
      </c>
      <c r="D41" t="s">
        <v>206</v>
      </c>
      <c r="E41" s="24">
        <v>183468.16</v>
      </c>
      <c r="F41" s="24">
        <v>183468.16</v>
      </c>
      <c r="G41" s="24">
        <v>183468.16</v>
      </c>
      <c r="H41" s="24">
        <v>183468.16</v>
      </c>
      <c r="I41" s="24">
        <v>183468.16</v>
      </c>
      <c r="J41" s="24">
        <v>156972.82</v>
      </c>
      <c r="K41" s="24">
        <v>156537.97</v>
      </c>
      <c r="L41" s="24">
        <v>156537.97</v>
      </c>
      <c r="M41" s="24">
        <v>165221.85999999999</v>
      </c>
      <c r="N41" s="24">
        <v>165221.85999999999</v>
      </c>
      <c r="O41" s="24">
        <v>165221.85999999999</v>
      </c>
      <c r="P41" s="24"/>
      <c r="Q41" s="24">
        <f t="shared" si="0"/>
        <v>1883055.1399999997</v>
      </c>
      <c r="S41" s="24">
        <f>Monthly!J563</f>
        <v>2048277</v>
      </c>
      <c r="T41" s="24">
        <f t="shared" si="1"/>
        <v>165221.86000000034</v>
      </c>
      <c r="U41" s="50">
        <f>T41-Monthly!K563</f>
        <v>3.4924596548080444E-10</v>
      </c>
    </row>
    <row r="43" spans="1:21" x14ac:dyDescent="0.25">
      <c r="A43" t="s">
        <v>125</v>
      </c>
      <c r="E43" s="24">
        <f t="shared" ref="E43:Q43" si="2">SUM(E2:E42)</f>
        <v>12680803.76</v>
      </c>
      <c r="F43" s="24">
        <f t="shared" si="2"/>
        <v>12680803.76</v>
      </c>
      <c r="G43" s="24">
        <f t="shared" si="2"/>
        <v>12680803.76</v>
      </c>
      <c r="H43" s="24">
        <f t="shared" si="2"/>
        <v>12680803.76</v>
      </c>
      <c r="I43" s="24">
        <f t="shared" si="2"/>
        <v>12680803.76</v>
      </c>
      <c r="J43" s="24">
        <f t="shared" si="2"/>
        <v>12684595.810000002</v>
      </c>
      <c r="K43" s="24">
        <f t="shared" si="2"/>
        <v>12682160.15</v>
      </c>
      <c r="L43" s="24">
        <f t="shared" si="2"/>
        <v>12689481.810000001</v>
      </c>
      <c r="M43" s="24">
        <f t="shared" si="2"/>
        <v>13346644.809999993</v>
      </c>
      <c r="N43" s="24">
        <f t="shared" si="2"/>
        <v>13346644.719999995</v>
      </c>
      <c r="O43" s="24">
        <f t="shared" si="2"/>
        <v>13353549.359999998</v>
      </c>
      <c r="P43" s="24">
        <f t="shared" si="2"/>
        <v>0</v>
      </c>
      <c r="Q43" s="24">
        <f t="shared" si="2"/>
        <v>141507095.45999998</v>
      </c>
    </row>
    <row r="45" spans="1:21" x14ac:dyDescent="0.25">
      <c r="Q45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3"/>
  <sheetViews>
    <sheetView zoomScale="90" zoomScaleNormal="90" workbookViewId="0">
      <selection activeCell="A2" sqref="A2"/>
    </sheetView>
  </sheetViews>
  <sheetFormatPr defaultRowHeight="15" x14ac:dyDescent="0.25"/>
  <cols>
    <col min="1" max="1" width="8.85546875" bestFit="1" customWidth="1"/>
    <col min="2" max="2" width="17.5703125" bestFit="1" customWidth="1"/>
    <col min="3" max="3" width="14.42578125" bestFit="1" customWidth="1"/>
    <col min="4" max="4" width="36" bestFit="1" customWidth="1"/>
    <col min="5" max="17" width="13.5703125" customWidth="1"/>
    <col min="19" max="19" width="11.5703125" bestFit="1" customWidth="1"/>
    <col min="20" max="20" width="16.85546875" bestFit="1" customWidth="1"/>
    <col min="21" max="21" width="11.140625" bestFit="1" customWidth="1"/>
  </cols>
  <sheetData>
    <row r="1" spans="1:21" s="25" customFormat="1" x14ac:dyDescent="0.25">
      <c r="A1" s="25" t="s">
        <v>99</v>
      </c>
      <c r="B1" s="25" t="s">
        <v>100</v>
      </c>
      <c r="C1" s="25" t="s">
        <v>38</v>
      </c>
      <c r="D1" s="25" t="s">
        <v>101</v>
      </c>
      <c r="E1" s="26" t="s">
        <v>98</v>
      </c>
      <c r="F1" s="26" t="s">
        <v>102</v>
      </c>
      <c r="G1" s="26" t="s">
        <v>103</v>
      </c>
      <c r="H1" s="26" t="s">
        <v>104</v>
      </c>
      <c r="I1" s="26" t="s">
        <v>105</v>
      </c>
      <c r="J1" s="26" t="s">
        <v>106</v>
      </c>
      <c r="K1" s="26" t="s">
        <v>107</v>
      </c>
      <c r="L1" s="26" t="s">
        <v>108</v>
      </c>
      <c r="M1" s="26" t="s">
        <v>109</v>
      </c>
      <c r="N1" s="26" t="s">
        <v>110</v>
      </c>
      <c r="O1" s="26" t="s">
        <v>111</v>
      </c>
      <c r="P1" s="26" t="s">
        <v>112</v>
      </c>
      <c r="Q1" s="26" t="s">
        <v>113</v>
      </c>
      <c r="S1" s="25" t="s">
        <v>224</v>
      </c>
      <c r="T1" s="25" t="s">
        <v>225</v>
      </c>
      <c r="U1" s="25" t="s">
        <v>226</v>
      </c>
    </row>
    <row r="2" spans="1:21" x14ac:dyDescent="0.25">
      <c r="A2" s="13" t="s">
        <v>86</v>
      </c>
      <c r="B2" s="1" t="s">
        <v>172</v>
      </c>
      <c r="C2" s="21" t="s">
        <v>44</v>
      </c>
      <c r="D2" s="1" t="s">
        <v>177</v>
      </c>
      <c r="E2" s="24">
        <v>-36278.269999999997</v>
      </c>
      <c r="F2" s="24">
        <v>-36278.269999999997</v>
      </c>
      <c r="G2" s="24">
        <v>-36278.269999999997</v>
      </c>
      <c r="H2" s="24">
        <v>-36278.269999999997</v>
      </c>
      <c r="I2" s="24">
        <v>-36278.269999999997</v>
      </c>
      <c r="J2" s="24">
        <v>-34961.61</v>
      </c>
      <c r="K2" s="24">
        <v>-34950.379999999997</v>
      </c>
      <c r="L2" s="24">
        <v>-34950.379999999997</v>
      </c>
      <c r="M2" s="24">
        <v>-36825.68</v>
      </c>
      <c r="N2" s="24">
        <v>-36825.68</v>
      </c>
      <c r="O2" s="24">
        <v>-37032.81</v>
      </c>
      <c r="P2" s="24"/>
      <c r="Q2" s="24">
        <f>SUM(E2:P2)</f>
        <v>-396937.88999999996</v>
      </c>
      <c r="S2" s="24">
        <f>Monthly!J524*0.03</f>
        <v>433970.69609999994</v>
      </c>
      <c r="T2" s="24">
        <f>S2+Q2</f>
        <v>37032.806099999987</v>
      </c>
      <c r="U2" s="50">
        <f>T2+Monthly!M524</f>
        <v>-3.9000000106170774E-3</v>
      </c>
    </row>
    <row r="3" spans="1:21" x14ac:dyDescent="0.25">
      <c r="A3" s="13" t="s">
        <v>86</v>
      </c>
      <c r="B3" s="5" t="s">
        <v>172</v>
      </c>
      <c r="C3" s="21" t="s">
        <v>68</v>
      </c>
      <c r="D3" s="5" t="s">
        <v>178</v>
      </c>
      <c r="E3" s="24">
        <v>-16669.46</v>
      </c>
      <c r="F3" s="24">
        <v>-16669.46</v>
      </c>
      <c r="G3" s="24">
        <v>-16669.46</v>
      </c>
      <c r="H3" s="24">
        <v>-16669.46</v>
      </c>
      <c r="I3" s="24">
        <v>-16669.46</v>
      </c>
      <c r="J3" s="24">
        <v>-15701.04</v>
      </c>
      <c r="K3" s="24">
        <v>-15703.29</v>
      </c>
      <c r="L3" s="24">
        <v>-15703.29</v>
      </c>
      <c r="M3" s="24">
        <v>-16538.599999999999</v>
      </c>
      <c r="N3" s="24">
        <v>-16538.599999999999</v>
      </c>
      <c r="O3" s="24">
        <v>-16538.599999999999</v>
      </c>
      <c r="P3" s="24"/>
      <c r="Q3" s="24">
        <f t="shared" ref="Q3:Q41" si="0">SUM(E3:P3)</f>
        <v>-180070.72000000003</v>
      </c>
      <c r="S3" s="24">
        <f>Monthly!J525*0.03</f>
        <v>196609.32869999998</v>
      </c>
      <c r="T3" s="24">
        <f t="shared" ref="T3:T41" si="1">S3+Q3</f>
        <v>16538.608699999953</v>
      </c>
      <c r="U3" s="50">
        <f>T3+Monthly!M525</f>
        <v>-1.3000000471947715E-3</v>
      </c>
    </row>
    <row r="4" spans="1:21" x14ac:dyDescent="0.25">
      <c r="A4" s="13" t="s">
        <v>86</v>
      </c>
      <c r="B4" s="1" t="s">
        <v>172</v>
      </c>
      <c r="C4" s="22" t="s">
        <v>146</v>
      </c>
      <c r="D4" s="1" t="s">
        <v>179</v>
      </c>
      <c r="E4" s="24">
        <v>-39474.07</v>
      </c>
      <c r="F4" s="24">
        <v>-39474.07</v>
      </c>
      <c r="G4" s="24">
        <v>-39474.07</v>
      </c>
      <c r="H4" s="24">
        <v>-39474.07</v>
      </c>
      <c r="I4" s="24">
        <v>-39474.07</v>
      </c>
      <c r="J4" s="24">
        <v>-44256.17</v>
      </c>
      <c r="K4" s="24">
        <v>-44209</v>
      </c>
      <c r="L4" s="24">
        <v>-44428.65</v>
      </c>
      <c r="M4" s="24">
        <v>-46557.7</v>
      </c>
      <c r="N4" s="24">
        <v>-46557.7</v>
      </c>
      <c r="O4" s="24">
        <v>-46557.69</v>
      </c>
      <c r="P4" s="24"/>
      <c r="Q4" s="24">
        <f t="shared" si="0"/>
        <v>-469937.26000000007</v>
      </c>
      <c r="S4" s="24">
        <f>Monthly!J526*0.03</f>
        <v>516494.95949999994</v>
      </c>
      <c r="T4" s="24">
        <f t="shared" si="1"/>
        <v>46557.699499999871</v>
      </c>
      <c r="U4" s="50">
        <f>T4+Monthly!M526</f>
        <v>-5.0000012561213225E-4</v>
      </c>
    </row>
    <row r="5" spans="1:21" x14ac:dyDescent="0.25">
      <c r="A5" s="13" t="s">
        <v>89</v>
      </c>
      <c r="B5" s="5" t="s">
        <v>29</v>
      </c>
      <c r="C5" s="21" t="s">
        <v>80</v>
      </c>
      <c r="D5" s="5" t="s">
        <v>180</v>
      </c>
      <c r="E5" s="24">
        <v>-8169.56</v>
      </c>
      <c r="F5" s="24">
        <v>-8169.56</v>
      </c>
      <c r="G5" s="24">
        <v>-8169.56</v>
      </c>
      <c r="H5" s="24">
        <v>-8169.56</v>
      </c>
      <c r="I5" s="24">
        <v>-8169.56</v>
      </c>
      <c r="J5" s="24">
        <v>-8682.81</v>
      </c>
      <c r="K5" s="24">
        <v>-8653.7199999999993</v>
      </c>
      <c r="L5" s="24">
        <v>-8653.7199999999993</v>
      </c>
      <c r="M5" s="24">
        <v>-9108.06</v>
      </c>
      <c r="N5" s="24">
        <v>-9108.06</v>
      </c>
      <c r="O5" s="24">
        <v>-9108.06</v>
      </c>
      <c r="P5" s="24"/>
      <c r="Q5" s="24">
        <f t="shared" si="0"/>
        <v>-94162.23</v>
      </c>
      <c r="S5" s="24">
        <f>Monthly!J527*0.03</f>
        <v>103270.2987</v>
      </c>
      <c r="T5" s="24">
        <f t="shared" si="1"/>
        <v>9108.0687000000034</v>
      </c>
      <c r="U5" s="50">
        <f>T5+Monthly!M527</f>
        <v>-1.2999999962630682E-3</v>
      </c>
    </row>
    <row r="6" spans="1:21" x14ac:dyDescent="0.25">
      <c r="A6" s="13" t="s">
        <v>89</v>
      </c>
      <c r="B6" s="5" t="s">
        <v>29</v>
      </c>
      <c r="C6" s="21" t="s">
        <v>49</v>
      </c>
      <c r="D6" s="5" t="s">
        <v>181</v>
      </c>
      <c r="E6" s="24">
        <v>-7014.93</v>
      </c>
      <c r="F6" s="24">
        <v>-7014.93</v>
      </c>
      <c r="G6" s="24">
        <v>-7014.93</v>
      </c>
      <c r="H6" s="24">
        <v>-7014.93</v>
      </c>
      <c r="I6" s="24">
        <v>-7014.93</v>
      </c>
      <c r="J6" s="24">
        <v>-5123.0200000000004</v>
      </c>
      <c r="K6" s="24">
        <v>-5106.33</v>
      </c>
      <c r="L6" s="24">
        <v>-5106.33</v>
      </c>
      <c r="M6" s="24">
        <v>-5420.84</v>
      </c>
      <c r="N6" s="24">
        <v>-5420.84</v>
      </c>
      <c r="O6" s="24">
        <v>-5420.84</v>
      </c>
      <c r="P6" s="24"/>
      <c r="Q6" s="24">
        <f t="shared" si="0"/>
        <v>-66672.849999999991</v>
      </c>
      <c r="S6" s="24">
        <f>Monthly!J528*0.03</f>
        <v>72093.682499999995</v>
      </c>
      <c r="T6" s="24">
        <f t="shared" si="1"/>
        <v>5420.8325000000041</v>
      </c>
      <c r="U6" s="50">
        <f>T6+Monthly!M528</f>
        <v>2.5000000041472958E-3</v>
      </c>
    </row>
    <row r="7" spans="1:21" x14ac:dyDescent="0.25">
      <c r="A7" s="13" t="s">
        <v>89</v>
      </c>
      <c r="B7" s="5" t="s">
        <v>29</v>
      </c>
      <c r="C7" s="21" t="s">
        <v>50</v>
      </c>
      <c r="D7" s="5" t="s">
        <v>182</v>
      </c>
      <c r="E7" s="24">
        <v>-5884.26</v>
      </c>
      <c r="F7" s="24">
        <v>-5884.26</v>
      </c>
      <c r="G7" s="24">
        <v>-5884.26</v>
      </c>
      <c r="H7" s="24">
        <v>-5884.26</v>
      </c>
      <c r="I7" s="24">
        <v>-5884.26</v>
      </c>
      <c r="J7" s="24">
        <v>-2114.1</v>
      </c>
      <c r="K7" s="24">
        <v>-2197.23</v>
      </c>
      <c r="L7" s="24">
        <v>-2197.23</v>
      </c>
      <c r="M7" s="24">
        <v>-2382.23</v>
      </c>
      <c r="N7" s="24">
        <v>-2382.23</v>
      </c>
      <c r="O7" s="24">
        <v>-2382.2199999999998</v>
      </c>
      <c r="P7" s="24"/>
      <c r="Q7" s="24">
        <f t="shared" si="0"/>
        <v>-43076.540000000015</v>
      </c>
      <c r="S7" s="24">
        <f>Monthly!J529*0.03</f>
        <v>45458.766599999995</v>
      </c>
      <c r="T7" s="24">
        <f t="shared" si="1"/>
        <v>2382.22659999998</v>
      </c>
      <c r="U7" s="50">
        <f>T7+Monthly!M529</f>
        <v>-3.4000000200649083E-3</v>
      </c>
    </row>
    <row r="8" spans="1:21" x14ac:dyDescent="0.25">
      <c r="A8" s="13" t="s">
        <v>89</v>
      </c>
      <c r="B8" s="5" t="s">
        <v>29</v>
      </c>
      <c r="C8" s="21" t="s">
        <v>97</v>
      </c>
      <c r="D8" s="5" t="s">
        <v>183</v>
      </c>
      <c r="E8" s="24">
        <v>-2200.33</v>
      </c>
      <c r="F8" s="24">
        <v>-2200.33</v>
      </c>
      <c r="G8" s="24">
        <v>-2200.33</v>
      </c>
      <c r="H8" s="24">
        <v>-2200.33</v>
      </c>
      <c r="I8" s="24">
        <v>-2200.33</v>
      </c>
      <c r="J8" s="24">
        <v>-2010.46</v>
      </c>
      <c r="K8" s="24">
        <v>-2024.61</v>
      </c>
      <c r="L8" s="24">
        <v>-2024.62</v>
      </c>
      <c r="M8" s="24">
        <v>-2126.91</v>
      </c>
      <c r="N8" s="24">
        <v>-2126.91</v>
      </c>
      <c r="O8" s="24">
        <v>-2126.91</v>
      </c>
      <c r="P8" s="24"/>
      <c r="Q8" s="24">
        <f t="shared" si="0"/>
        <v>-23442.07</v>
      </c>
      <c r="S8" s="24">
        <f>Monthly!J530*0.03</f>
        <v>25568.9784</v>
      </c>
      <c r="T8" s="24">
        <f t="shared" si="1"/>
        <v>2126.9084000000003</v>
      </c>
      <c r="U8" s="50">
        <f>T8+Monthly!M530</f>
        <v>-1.5999999995983671E-3</v>
      </c>
    </row>
    <row r="9" spans="1:21" x14ac:dyDescent="0.25">
      <c r="A9" s="15" t="s">
        <v>86</v>
      </c>
      <c r="B9" s="1" t="s">
        <v>85</v>
      </c>
      <c r="C9" s="22" t="s">
        <v>46</v>
      </c>
      <c r="D9" s="4" t="s">
        <v>184</v>
      </c>
      <c r="E9" s="24">
        <v>-13344.88</v>
      </c>
      <c r="F9" s="24">
        <v>-13344.88</v>
      </c>
      <c r="G9" s="24">
        <v>-13344.88</v>
      </c>
      <c r="H9" s="24">
        <v>-13344.88</v>
      </c>
      <c r="I9" s="24">
        <v>-13344.88</v>
      </c>
      <c r="J9" s="24">
        <v>-13719.22</v>
      </c>
      <c r="K9" s="24">
        <v>-13700.92</v>
      </c>
      <c r="L9" s="24">
        <v>-13700.92</v>
      </c>
      <c r="M9" s="24">
        <v>-14383.42</v>
      </c>
      <c r="N9" s="24">
        <v>-14383.41</v>
      </c>
      <c r="O9" s="24">
        <v>-14383.42</v>
      </c>
      <c r="P9" s="24"/>
      <c r="Q9" s="24">
        <f t="shared" si="0"/>
        <v>-150995.71</v>
      </c>
      <c r="S9" s="24">
        <f>Monthly!J531*0.03</f>
        <v>165379.1214</v>
      </c>
      <c r="T9" s="24">
        <f t="shared" si="1"/>
        <v>14383.411400000012</v>
      </c>
      <c r="U9" s="50">
        <f>T9+Monthly!M531</f>
        <v>1.4000000119267497E-3</v>
      </c>
    </row>
    <row r="10" spans="1:21" x14ac:dyDescent="0.25">
      <c r="A10" s="15" t="s">
        <v>86</v>
      </c>
      <c r="B10" s="5" t="s">
        <v>8</v>
      </c>
      <c r="C10" s="21" t="s">
        <v>45</v>
      </c>
      <c r="D10" s="18" t="s">
        <v>185</v>
      </c>
      <c r="E10" s="24">
        <v>-16061.38</v>
      </c>
      <c r="F10" s="24">
        <v>-16061.38</v>
      </c>
      <c r="G10" s="24">
        <v>-16061.38</v>
      </c>
      <c r="H10" s="24">
        <v>-16061.38</v>
      </c>
      <c r="I10" s="24">
        <v>-16061.38</v>
      </c>
      <c r="J10" s="24">
        <v>-11707.31</v>
      </c>
      <c r="K10" s="24">
        <v>-11699.74</v>
      </c>
      <c r="L10" s="24">
        <v>-11699.75</v>
      </c>
      <c r="M10" s="24">
        <v>-12402.99</v>
      </c>
      <c r="N10" s="24">
        <v>-12402.99</v>
      </c>
      <c r="O10" s="24">
        <v>-12402.98</v>
      </c>
      <c r="P10" s="24"/>
      <c r="Q10" s="24">
        <f t="shared" si="0"/>
        <v>-152622.66</v>
      </c>
      <c r="S10" s="24">
        <f>Monthly!J532*0.03</f>
        <v>165025.64939999999</v>
      </c>
      <c r="T10" s="24">
        <f t="shared" si="1"/>
        <v>12402.989399999991</v>
      </c>
      <c r="U10" s="50">
        <f>T10+Monthly!M532</f>
        <v>-6.0000000848958734E-4</v>
      </c>
    </row>
    <row r="11" spans="1:21" x14ac:dyDescent="0.25">
      <c r="A11" s="15" t="s">
        <v>90</v>
      </c>
      <c r="B11" s="5" t="s">
        <v>15</v>
      </c>
      <c r="C11" s="21" t="s">
        <v>55</v>
      </c>
      <c r="D11" s="5" t="s">
        <v>186</v>
      </c>
      <c r="E11" s="24">
        <v>-10968.88</v>
      </c>
      <c r="F11" s="24">
        <v>-10968.88</v>
      </c>
      <c r="G11" s="24">
        <v>-10968.88</v>
      </c>
      <c r="H11" s="24">
        <v>-10968.88</v>
      </c>
      <c r="I11" s="24">
        <v>-10968.88</v>
      </c>
      <c r="J11" s="24">
        <v>-9725.65</v>
      </c>
      <c r="K11" s="24">
        <v>-9724.1200000000008</v>
      </c>
      <c r="L11" s="24">
        <v>-9724.1200000000008</v>
      </c>
      <c r="M11" s="24">
        <v>-10252.11</v>
      </c>
      <c r="N11" s="24">
        <v>-10252.11</v>
      </c>
      <c r="O11" s="24">
        <v>-10252.120000000001</v>
      </c>
      <c r="P11" s="24"/>
      <c r="Q11" s="24">
        <f t="shared" si="0"/>
        <v>-114774.62999999999</v>
      </c>
      <c r="S11" s="24">
        <f>Monthly!J533*0.03</f>
        <v>125026.73999999999</v>
      </c>
      <c r="T11" s="24">
        <f t="shared" si="1"/>
        <v>10252.11</v>
      </c>
      <c r="U11" s="50">
        <f>T11+Monthly!M533</f>
        <v>0</v>
      </c>
    </row>
    <row r="12" spans="1:21" x14ac:dyDescent="0.25">
      <c r="A12" s="15" t="s">
        <v>90</v>
      </c>
      <c r="B12" s="5" t="s">
        <v>15</v>
      </c>
      <c r="C12" s="21" t="s">
        <v>56</v>
      </c>
      <c r="D12" s="5" t="s">
        <v>187</v>
      </c>
      <c r="E12" s="24">
        <v>-4766.4799999999996</v>
      </c>
      <c r="F12" s="24">
        <v>-4766.4799999999996</v>
      </c>
      <c r="G12" s="24">
        <v>-4766.4799999999996</v>
      </c>
      <c r="H12" s="24">
        <v>-4766.4799999999996</v>
      </c>
      <c r="I12" s="24">
        <v>-4766.4799999999996</v>
      </c>
      <c r="J12" s="24">
        <v>-4758.38</v>
      </c>
      <c r="K12" s="24">
        <v>-4757.59</v>
      </c>
      <c r="L12" s="24">
        <v>-4757.59</v>
      </c>
      <c r="M12" s="24">
        <v>-5009.6099999999997</v>
      </c>
      <c r="N12" s="24">
        <v>-5009.6099999999997</v>
      </c>
      <c r="O12" s="24">
        <v>-5009.6099999999997</v>
      </c>
      <c r="P12" s="24"/>
      <c r="Q12" s="24">
        <f t="shared" si="0"/>
        <v>-53134.789999999994</v>
      </c>
      <c r="S12" s="24">
        <f>Monthly!J534*0.03</f>
        <v>58144.3986</v>
      </c>
      <c r="T12" s="24">
        <f t="shared" si="1"/>
        <v>5009.6086000000068</v>
      </c>
      <c r="U12" s="50">
        <f>T12+Monthly!M534</f>
        <v>-1.399999992827361E-3</v>
      </c>
    </row>
    <row r="13" spans="1:21" x14ac:dyDescent="0.25">
      <c r="A13" s="15" t="s">
        <v>90</v>
      </c>
      <c r="B13" s="1" t="s">
        <v>15</v>
      </c>
      <c r="C13" s="22" t="s">
        <v>79</v>
      </c>
      <c r="D13" s="1" t="s">
        <v>77</v>
      </c>
      <c r="E13" s="24">
        <v>-11766.61</v>
      </c>
      <c r="F13" s="24">
        <v>-11766.61</v>
      </c>
      <c r="G13" s="24">
        <v>-11766.61</v>
      </c>
      <c r="H13" s="24">
        <v>-11766.61</v>
      </c>
      <c r="I13" s="24">
        <v>-11766.61</v>
      </c>
      <c r="J13" s="24">
        <v>-12408.62</v>
      </c>
      <c r="K13" s="24">
        <v>-12401.75</v>
      </c>
      <c r="L13" s="24">
        <v>-12401.75</v>
      </c>
      <c r="M13" s="24">
        <v>-13041.17</v>
      </c>
      <c r="N13" s="24">
        <v>-13041.17</v>
      </c>
      <c r="O13" s="24">
        <v>-13041.17</v>
      </c>
      <c r="P13" s="24"/>
      <c r="Q13" s="24">
        <f t="shared" si="0"/>
        <v>-135168.68</v>
      </c>
      <c r="S13" s="24">
        <f>Monthly!J535*0.03</f>
        <v>148209.85919999998</v>
      </c>
      <c r="T13" s="24">
        <f t="shared" si="1"/>
        <v>13041.179199999984</v>
      </c>
      <c r="U13" s="50">
        <f>T13+Monthly!M535</f>
        <v>-8.000000161700882E-4</v>
      </c>
    </row>
    <row r="14" spans="1:21" x14ac:dyDescent="0.25">
      <c r="A14" s="15" t="s">
        <v>90</v>
      </c>
      <c r="B14" s="1" t="s">
        <v>15</v>
      </c>
      <c r="C14" s="22" t="s">
        <v>54</v>
      </c>
      <c r="D14" s="1" t="s">
        <v>17</v>
      </c>
      <c r="E14" s="24">
        <v>-8057.14</v>
      </c>
      <c r="F14" s="24">
        <v>-8057.14</v>
      </c>
      <c r="G14" s="24">
        <v>-8057.14</v>
      </c>
      <c r="H14" s="24">
        <v>-8057.14</v>
      </c>
      <c r="I14" s="24">
        <v>-8057.14</v>
      </c>
      <c r="J14" s="24">
        <v>-6712.23</v>
      </c>
      <c r="K14" s="24">
        <v>-6716.16</v>
      </c>
      <c r="L14" s="24">
        <v>-6716.15</v>
      </c>
      <c r="M14" s="24">
        <v>-7103.56</v>
      </c>
      <c r="N14" s="24">
        <v>-7103.56</v>
      </c>
      <c r="O14" s="24">
        <v>-7103.56</v>
      </c>
      <c r="P14" s="24"/>
      <c r="Q14" s="24">
        <f t="shared" si="0"/>
        <v>-81740.920000000013</v>
      </c>
      <c r="S14" s="24">
        <f>Monthly!J536*0.03</f>
        <v>88844.483999999997</v>
      </c>
      <c r="T14" s="24">
        <f t="shared" si="1"/>
        <v>7103.5639999999839</v>
      </c>
      <c r="U14" s="50">
        <f>T14+Monthly!M536</f>
        <v>3.9999999835345079E-3</v>
      </c>
    </row>
    <row r="15" spans="1:21" x14ac:dyDescent="0.25">
      <c r="A15" s="15" t="s">
        <v>90</v>
      </c>
      <c r="B15" s="1" t="s">
        <v>15</v>
      </c>
      <c r="C15" s="22" t="s">
        <v>114</v>
      </c>
      <c r="D15" s="1" t="s">
        <v>124</v>
      </c>
      <c r="E15" s="24">
        <v>-3829.13</v>
      </c>
      <c r="F15" s="24">
        <v>-3829.13</v>
      </c>
      <c r="G15" s="24">
        <v>-3829.13</v>
      </c>
      <c r="H15" s="24">
        <v>-3829.13</v>
      </c>
      <c r="I15" s="24">
        <v>-3829.13</v>
      </c>
      <c r="J15" s="24">
        <v>-4886.1000000000004</v>
      </c>
      <c r="K15" s="24">
        <v>-4885.42</v>
      </c>
      <c r="L15" s="24">
        <v>-4885.42</v>
      </c>
      <c r="M15" s="24">
        <v>-5112.59</v>
      </c>
      <c r="N15" s="24">
        <v>-5112.58</v>
      </c>
      <c r="O15" s="24">
        <v>-5112.59</v>
      </c>
      <c r="P15" s="24"/>
      <c r="Q15" s="24">
        <f t="shared" si="0"/>
        <v>-49140.349999999991</v>
      </c>
      <c r="S15" s="24">
        <f>Monthly!J537*0.03</f>
        <v>54252.9306</v>
      </c>
      <c r="T15" s="24">
        <f t="shared" si="1"/>
        <v>5112.5806000000084</v>
      </c>
      <c r="U15" s="50">
        <f>T15+Monthly!M537</f>
        <v>6.0000000848958734E-4</v>
      </c>
    </row>
    <row r="16" spans="1:21" x14ac:dyDescent="0.25">
      <c r="A16" s="15" t="s">
        <v>90</v>
      </c>
      <c r="B16" s="1" t="s">
        <v>15</v>
      </c>
      <c r="C16" s="22" t="s">
        <v>118</v>
      </c>
      <c r="D16" s="4" t="s">
        <v>119</v>
      </c>
      <c r="E16" s="24">
        <v>-5245.12</v>
      </c>
      <c r="F16" s="24">
        <v>-5245.12</v>
      </c>
      <c r="G16" s="24">
        <v>-5245.12</v>
      </c>
      <c r="H16" s="24">
        <v>-5245.12</v>
      </c>
      <c r="I16" s="24">
        <v>-5245.12</v>
      </c>
      <c r="J16" s="24">
        <v>-7901.68</v>
      </c>
      <c r="K16" s="24">
        <v>-7895.47</v>
      </c>
      <c r="L16" s="24">
        <v>-7895.46</v>
      </c>
      <c r="M16" s="24">
        <v>-8238.25</v>
      </c>
      <c r="N16" s="24">
        <v>-8238.25</v>
      </c>
      <c r="O16" s="24">
        <v>-8238.25</v>
      </c>
      <c r="P16" s="24"/>
      <c r="Q16" s="24">
        <f t="shared" si="0"/>
        <v>-74632.959999999992</v>
      </c>
      <c r="S16" s="24">
        <f>Monthly!J538*0.03</f>
        <v>82871.206200000001</v>
      </c>
      <c r="T16" s="24">
        <f t="shared" si="1"/>
        <v>8238.2462000000087</v>
      </c>
      <c r="U16" s="50">
        <f>T16+Monthly!M538</f>
        <v>-3.799999991315417E-3</v>
      </c>
    </row>
    <row r="17" spans="1:21" x14ac:dyDescent="0.25">
      <c r="A17" s="15" t="s">
        <v>90</v>
      </c>
      <c r="B17" s="1" t="s">
        <v>15</v>
      </c>
      <c r="C17" s="22" t="s">
        <v>58</v>
      </c>
      <c r="D17" s="1" t="s">
        <v>188</v>
      </c>
      <c r="E17" s="24">
        <v>-6461.67</v>
      </c>
      <c r="F17" s="24">
        <v>-6461.67</v>
      </c>
      <c r="G17" s="24">
        <v>-6461.67</v>
      </c>
      <c r="H17" s="24">
        <v>-6461.67</v>
      </c>
      <c r="I17" s="24">
        <v>-6461.67</v>
      </c>
      <c r="J17" s="24">
        <v>-5503.67</v>
      </c>
      <c r="K17" s="24">
        <v>-5507.88</v>
      </c>
      <c r="L17" s="24">
        <v>-5507.88</v>
      </c>
      <c r="M17" s="24">
        <v>-5816.19</v>
      </c>
      <c r="N17" s="24">
        <v>-5816.19</v>
      </c>
      <c r="O17" s="24">
        <v>-5816.19</v>
      </c>
      <c r="P17" s="24"/>
      <c r="Q17" s="24">
        <f t="shared" si="0"/>
        <v>-66276.349999999991</v>
      </c>
      <c r="S17" s="24">
        <f>Monthly!J539*0.03</f>
        <v>72092.531100000007</v>
      </c>
      <c r="T17" s="24">
        <f t="shared" si="1"/>
        <v>5816.1811000000162</v>
      </c>
      <c r="U17" s="50">
        <f>T17+Monthly!M539</f>
        <v>1.1000000158674084E-3</v>
      </c>
    </row>
    <row r="18" spans="1:21" x14ac:dyDescent="0.25">
      <c r="A18" s="15" t="s">
        <v>90</v>
      </c>
      <c r="B18" s="1" t="s">
        <v>15</v>
      </c>
      <c r="C18" s="22" t="s">
        <v>71</v>
      </c>
      <c r="D18" s="4" t="s">
        <v>70</v>
      </c>
      <c r="E18" s="24">
        <v>-1396.04</v>
      </c>
      <c r="F18" s="24">
        <v>-1396.04</v>
      </c>
      <c r="G18" s="24">
        <v>-1396.04</v>
      </c>
      <c r="H18" s="24">
        <v>-1396.04</v>
      </c>
      <c r="I18" s="24">
        <v>-1396.04</v>
      </c>
      <c r="J18" s="24">
        <v>-888.96</v>
      </c>
      <c r="K18" s="24">
        <v>-888.8</v>
      </c>
      <c r="L18" s="24">
        <v>-888.8</v>
      </c>
      <c r="M18" s="24">
        <v>-945.51</v>
      </c>
      <c r="N18" s="24">
        <v>-945.51</v>
      </c>
      <c r="O18" s="24">
        <v>-945.51</v>
      </c>
      <c r="P18" s="24"/>
      <c r="Q18" s="24">
        <f t="shared" si="0"/>
        <v>-12483.289999999999</v>
      </c>
      <c r="S18" s="24">
        <f>Monthly!J540*0.03</f>
        <v>13428.797999999999</v>
      </c>
      <c r="T18" s="24">
        <f t="shared" si="1"/>
        <v>945.50799999999981</v>
      </c>
      <c r="U18" s="50">
        <f>T18+Monthly!M540</f>
        <v>-2.00000000018008E-3</v>
      </c>
    </row>
    <row r="19" spans="1:21" x14ac:dyDescent="0.25">
      <c r="A19" s="13" t="s">
        <v>90</v>
      </c>
      <c r="B19" s="7" t="s">
        <v>15</v>
      </c>
      <c r="C19" s="21" t="s">
        <v>57</v>
      </c>
      <c r="D19" s="7" t="s">
        <v>32</v>
      </c>
      <c r="E19" s="24">
        <v>-6533.86</v>
      </c>
      <c r="F19" s="24">
        <v>-6533.86</v>
      </c>
      <c r="G19" s="24">
        <v>-6533.86</v>
      </c>
      <c r="H19" s="24">
        <v>-6533.86</v>
      </c>
      <c r="I19" s="24">
        <v>-6533.86</v>
      </c>
      <c r="J19" s="24">
        <v>-5879.85</v>
      </c>
      <c r="K19" s="24">
        <v>-5883.29</v>
      </c>
      <c r="L19" s="24">
        <v>-5883.28</v>
      </c>
      <c r="M19" s="24">
        <v>-6211.67</v>
      </c>
      <c r="N19" s="24">
        <v>-6211.67</v>
      </c>
      <c r="O19" s="24">
        <v>-6211.67</v>
      </c>
      <c r="P19" s="24"/>
      <c r="Q19" s="24">
        <f t="shared" si="0"/>
        <v>-68950.73</v>
      </c>
      <c r="S19" s="24">
        <f>Monthly!J541*0.03</f>
        <v>75162.393599999996</v>
      </c>
      <c r="T19" s="24">
        <f t="shared" si="1"/>
        <v>6211.6635999999999</v>
      </c>
      <c r="U19" s="50">
        <f>T19+Monthly!M541</f>
        <v>3.6000000000058208E-3</v>
      </c>
    </row>
    <row r="20" spans="1:21" x14ac:dyDescent="0.25">
      <c r="A20" s="13" t="s">
        <v>90</v>
      </c>
      <c r="B20" s="1" t="s">
        <v>15</v>
      </c>
      <c r="C20" s="21" t="s">
        <v>53</v>
      </c>
      <c r="D20" s="1" t="s">
        <v>189</v>
      </c>
      <c r="E20" s="24">
        <v>-18088.669999999998</v>
      </c>
      <c r="F20" s="24">
        <v>-18088.669999999998</v>
      </c>
      <c r="G20" s="24">
        <v>-18088.669999999998</v>
      </c>
      <c r="H20" s="24">
        <v>-18088.669999999998</v>
      </c>
      <c r="I20" s="24">
        <v>-18088.669999999998</v>
      </c>
      <c r="J20" s="24">
        <v>-16545.509999999998</v>
      </c>
      <c r="K20" s="24">
        <v>-16542.919999999998</v>
      </c>
      <c r="L20" s="24">
        <v>-16542.919999999998</v>
      </c>
      <c r="M20" s="24">
        <v>-17428.88</v>
      </c>
      <c r="N20" s="24">
        <v>-17428.89</v>
      </c>
      <c r="O20" s="24">
        <v>-17428.88</v>
      </c>
      <c r="P20" s="24"/>
      <c r="Q20" s="24">
        <f t="shared" si="0"/>
        <v>-192361.34999999998</v>
      </c>
      <c r="S20" s="24">
        <f>Monthly!J542*0.03</f>
        <v>209790.23909999998</v>
      </c>
      <c r="T20" s="24">
        <f t="shared" si="1"/>
        <v>17428.8891</v>
      </c>
      <c r="U20" s="50">
        <f>T20+Monthly!M542</f>
        <v>-8.9999999909196049E-4</v>
      </c>
    </row>
    <row r="21" spans="1:21" x14ac:dyDescent="0.25">
      <c r="A21" s="13" t="s">
        <v>87</v>
      </c>
      <c r="B21" s="5" t="s">
        <v>87</v>
      </c>
      <c r="C21" s="21" t="s">
        <v>173</v>
      </c>
      <c r="D21" s="5" t="s">
        <v>190</v>
      </c>
      <c r="E21" s="24">
        <v>-12295.85</v>
      </c>
      <c r="F21" s="24">
        <v>-12295.85</v>
      </c>
      <c r="G21" s="24">
        <v>-12295.85</v>
      </c>
      <c r="H21" s="24">
        <v>-12295.85</v>
      </c>
      <c r="I21" s="24">
        <v>-12295.85</v>
      </c>
      <c r="J21" s="24">
        <v>-10775.56</v>
      </c>
      <c r="K21" s="24">
        <v>-10775.11</v>
      </c>
      <c r="L21" s="24">
        <v>-10775.11</v>
      </c>
      <c r="M21" s="24">
        <v>-11363.22</v>
      </c>
      <c r="N21" s="24">
        <v>-11363.22</v>
      </c>
      <c r="O21" s="24">
        <v>-11363.21</v>
      </c>
      <c r="P21" s="24"/>
      <c r="Q21" s="24">
        <f t="shared" si="0"/>
        <v>-127894.68</v>
      </c>
      <c r="S21" s="24">
        <f>Monthly!J543*0.03</f>
        <v>139257.8964</v>
      </c>
      <c r="T21" s="24">
        <f t="shared" si="1"/>
        <v>11363.216400000005</v>
      </c>
      <c r="U21" s="50">
        <f>T21+Monthly!M543</f>
        <v>-3.5999999945488526E-3</v>
      </c>
    </row>
    <row r="22" spans="1:21" x14ac:dyDescent="0.25">
      <c r="A22" s="13" t="s">
        <v>87</v>
      </c>
      <c r="B22" s="1" t="s">
        <v>87</v>
      </c>
      <c r="C22" s="22" t="s">
        <v>51</v>
      </c>
      <c r="D22" s="1" t="s">
        <v>191</v>
      </c>
      <c r="E22" s="24">
        <v>-16296.18</v>
      </c>
      <c r="F22" s="24">
        <v>-16296.18</v>
      </c>
      <c r="G22" s="24">
        <v>-16296.18</v>
      </c>
      <c r="H22" s="24">
        <v>-16296.18</v>
      </c>
      <c r="I22" s="24">
        <v>-16296.18</v>
      </c>
      <c r="J22" s="24">
        <v>-15577.49</v>
      </c>
      <c r="K22" s="24">
        <v>-15574.75</v>
      </c>
      <c r="L22" s="24">
        <v>-15574.75</v>
      </c>
      <c r="M22" s="24">
        <v>-16398.95</v>
      </c>
      <c r="N22" s="24">
        <v>-16398.95</v>
      </c>
      <c r="O22" s="24">
        <v>-16398.95</v>
      </c>
      <c r="P22" s="24"/>
      <c r="Q22" s="24">
        <f t="shared" si="0"/>
        <v>-177404.74000000002</v>
      </c>
      <c r="S22" s="24">
        <f>Monthly!J544*0.03</f>
        <v>193803.68159999998</v>
      </c>
      <c r="T22" s="24">
        <f t="shared" si="1"/>
        <v>16398.941599999962</v>
      </c>
      <c r="U22" s="50">
        <f>T22+Monthly!M544</f>
        <v>1.5999999632185791E-3</v>
      </c>
    </row>
    <row r="23" spans="1:21" x14ac:dyDescent="0.25">
      <c r="A23" s="13" t="s">
        <v>91</v>
      </c>
      <c r="B23" s="7" t="s">
        <v>21</v>
      </c>
      <c r="C23" s="22" t="s">
        <v>61</v>
      </c>
      <c r="D23" s="7" t="s">
        <v>192</v>
      </c>
      <c r="E23" s="24">
        <v>-3845.68</v>
      </c>
      <c r="F23" s="24">
        <v>-3845.68</v>
      </c>
      <c r="G23" s="24">
        <v>-3845.68</v>
      </c>
      <c r="H23" s="24">
        <v>-3845.68</v>
      </c>
      <c r="I23" s="24">
        <v>-3845.68</v>
      </c>
      <c r="J23" s="24">
        <v>-3820.62</v>
      </c>
      <c r="K23" s="24">
        <v>-3819.98</v>
      </c>
      <c r="L23" s="24">
        <v>-3819.98</v>
      </c>
      <c r="M23" s="24">
        <v>-4016.75</v>
      </c>
      <c r="N23" s="24">
        <v>-4016.76</v>
      </c>
      <c r="O23" s="24">
        <v>-4016.75</v>
      </c>
      <c r="P23" s="24"/>
      <c r="Q23" s="24">
        <f t="shared" si="0"/>
        <v>-42739.24</v>
      </c>
      <c r="S23" s="24">
        <f>Monthly!J545*0.03</f>
        <v>46755.996299999999</v>
      </c>
      <c r="T23" s="24">
        <f t="shared" si="1"/>
        <v>4016.7563000000009</v>
      </c>
      <c r="U23" s="50">
        <f>T23+Monthly!M545</f>
        <v>-3.6999999992985977E-3</v>
      </c>
    </row>
    <row r="24" spans="1:21" x14ac:dyDescent="0.25">
      <c r="A24" s="13" t="s">
        <v>91</v>
      </c>
      <c r="B24" s="5" t="s">
        <v>21</v>
      </c>
      <c r="C24" s="21" t="s">
        <v>62</v>
      </c>
      <c r="D24" s="5" t="s">
        <v>23</v>
      </c>
      <c r="E24" s="24">
        <v>-4857.18</v>
      </c>
      <c r="F24" s="24">
        <v>-4857.18</v>
      </c>
      <c r="G24" s="24">
        <v>-4857.18</v>
      </c>
      <c r="H24" s="24">
        <v>-4857.18</v>
      </c>
      <c r="I24" s="24">
        <v>-4857.18</v>
      </c>
      <c r="J24" s="24">
        <v>-4714.07</v>
      </c>
      <c r="K24" s="24">
        <v>-4713.2700000000004</v>
      </c>
      <c r="L24" s="24">
        <v>-4713.2700000000004</v>
      </c>
      <c r="M24" s="24">
        <v>-4961.37</v>
      </c>
      <c r="N24" s="24">
        <v>-4961.37</v>
      </c>
      <c r="O24" s="24">
        <v>-4961.37</v>
      </c>
      <c r="P24" s="24"/>
      <c r="Q24" s="24">
        <f t="shared" si="0"/>
        <v>-53310.620000000017</v>
      </c>
      <c r="S24" s="24">
        <f>Monthly!J546*0.03</f>
        <v>58271.9856</v>
      </c>
      <c r="T24" s="24">
        <f t="shared" si="1"/>
        <v>4961.3655999999828</v>
      </c>
      <c r="U24" s="50">
        <f>T24+Monthly!M546</f>
        <v>-4.4000000170854037E-3</v>
      </c>
    </row>
    <row r="25" spans="1:21" x14ac:dyDescent="0.25">
      <c r="A25" s="13" t="s">
        <v>13</v>
      </c>
      <c r="B25" s="5" t="s">
        <v>13</v>
      </c>
      <c r="C25" s="21" t="s">
        <v>52</v>
      </c>
      <c r="D25" s="5" t="s">
        <v>193</v>
      </c>
      <c r="E25" s="24">
        <v>-6564.29</v>
      </c>
      <c r="F25" s="24">
        <v>-6564.29</v>
      </c>
      <c r="G25" s="24">
        <v>-6564.29</v>
      </c>
      <c r="H25" s="24">
        <v>-6564.29</v>
      </c>
      <c r="I25" s="24">
        <v>-6564.29</v>
      </c>
      <c r="J25" s="24">
        <v>-6045.13</v>
      </c>
      <c r="K25" s="24">
        <v>-6044.05</v>
      </c>
      <c r="L25" s="24">
        <v>-6044.06</v>
      </c>
      <c r="M25" s="24">
        <v>-6373.81</v>
      </c>
      <c r="N25" s="24">
        <v>-6373.81</v>
      </c>
      <c r="O25" s="24">
        <v>-6373.81</v>
      </c>
      <c r="P25" s="24"/>
      <c r="Q25" s="24">
        <f t="shared" si="0"/>
        <v>-70076.12</v>
      </c>
      <c r="S25" s="24">
        <f>Monthly!J547*0.03</f>
        <v>76449.937799999985</v>
      </c>
      <c r="T25" s="24">
        <f t="shared" si="1"/>
        <v>6373.8177999999898</v>
      </c>
      <c r="U25" s="50">
        <f>T25+Monthly!M547</f>
        <v>-2.2000000099069439E-3</v>
      </c>
    </row>
    <row r="26" spans="1:21" x14ac:dyDescent="0.25">
      <c r="A26" s="13" t="s">
        <v>84</v>
      </c>
      <c r="B26" s="1" t="s">
        <v>84</v>
      </c>
      <c r="C26" s="22" t="s">
        <v>96</v>
      </c>
      <c r="D26" s="1" t="s">
        <v>83</v>
      </c>
      <c r="E26" s="24">
        <v>-13603.34</v>
      </c>
      <c r="F26" s="24">
        <v>-13603.34</v>
      </c>
      <c r="G26" s="24">
        <v>-13603.34</v>
      </c>
      <c r="H26" s="24">
        <v>-13603.34</v>
      </c>
      <c r="I26" s="24">
        <v>-13603.34</v>
      </c>
      <c r="J26" s="24">
        <v>-13560.08</v>
      </c>
      <c r="K26" s="24">
        <v>-13559.66</v>
      </c>
      <c r="L26" s="24">
        <v>-13559.66</v>
      </c>
      <c r="M26" s="24">
        <v>-14259.58</v>
      </c>
      <c r="N26" s="24">
        <v>-14259.58</v>
      </c>
      <c r="O26" s="24">
        <v>-14259.58</v>
      </c>
      <c r="P26" s="24"/>
      <c r="Q26" s="24">
        <f t="shared" si="0"/>
        <v>-151474.84</v>
      </c>
      <c r="S26" s="24">
        <f>Monthly!J548*0.03</f>
        <v>165734.41379999998</v>
      </c>
      <c r="T26" s="24">
        <f t="shared" si="1"/>
        <v>14259.573799999984</v>
      </c>
      <c r="U26" s="50">
        <f>T26+Monthly!M548</f>
        <v>3.7999999840394594E-3</v>
      </c>
    </row>
    <row r="27" spans="1:21" x14ac:dyDescent="0.25">
      <c r="A27" s="13" t="s">
        <v>88</v>
      </c>
      <c r="B27" s="1" t="s">
        <v>25</v>
      </c>
      <c r="C27" s="22" t="s">
        <v>65</v>
      </c>
      <c r="D27" s="1" t="s">
        <v>26</v>
      </c>
      <c r="E27" s="24">
        <v>-16549.88</v>
      </c>
      <c r="F27" s="24">
        <v>-16549.88</v>
      </c>
      <c r="G27" s="24">
        <v>-16549.88</v>
      </c>
      <c r="H27" s="24">
        <v>-16549.88</v>
      </c>
      <c r="I27" s="24">
        <v>-16549.88</v>
      </c>
      <c r="J27" s="24">
        <v>-17000.75</v>
      </c>
      <c r="K27" s="24">
        <v>-16998.23</v>
      </c>
      <c r="L27" s="24">
        <v>-16998.23</v>
      </c>
      <c r="M27" s="24">
        <v>-17864.830000000002</v>
      </c>
      <c r="N27" s="24">
        <v>-17864.830000000002</v>
      </c>
      <c r="O27" s="24">
        <v>-17864.830000000002</v>
      </c>
      <c r="P27" s="24"/>
      <c r="Q27" s="24">
        <f t="shared" si="0"/>
        <v>-187341.10000000003</v>
      </c>
      <c r="S27" s="24">
        <f>Monthly!J549*0.03</f>
        <v>205205.92529999997</v>
      </c>
      <c r="T27" s="24">
        <f t="shared" si="1"/>
        <v>17864.825299999939</v>
      </c>
      <c r="U27" s="50">
        <f>T27+Monthly!M549</f>
        <v>-4.7000000631669536E-3</v>
      </c>
    </row>
    <row r="28" spans="1:21" x14ac:dyDescent="0.25">
      <c r="A28" s="13" t="s">
        <v>88</v>
      </c>
      <c r="B28" s="1" t="s">
        <v>25</v>
      </c>
      <c r="C28" s="22" t="s">
        <v>81</v>
      </c>
      <c r="D28" s="1" t="s">
        <v>194</v>
      </c>
      <c r="E28" s="24">
        <v>-1168.45</v>
      </c>
      <c r="F28" s="24">
        <v>-1168.45</v>
      </c>
      <c r="G28" s="24">
        <v>-1168.45</v>
      </c>
      <c r="H28" s="24">
        <v>-1168.45</v>
      </c>
      <c r="I28" s="24">
        <v>-1168.45</v>
      </c>
      <c r="J28" s="24">
        <v>-888.93</v>
      </c>
      <c r="K28" s="24">
        <v>-888.78</v>
      </c>
      <c r="L28" s="24">
        <v>-888.78</v>
      </c>
      <c r="M28" s="24">
        <v>-940.6</v>
      </c>
      <c r="N28" s="24">
        <v>-940.6</v>
      </c>
      <c r="O28" s="24">
        <v>-940.6</v>
      </c>
      <c r="P28" s="24"/>
      <c r="Q28" s="24">
        <f t="shared" si="0"/>
        <v>-11330.54</v>
      </c>
      <c r="S28" s="24">
        <f>Monthly!J550*0.03</f>
        <v>12271.142999999998</v>
      </c>
      <c r="T28" s="24">
        <f t="shared" si="1"/>
        <v>940.60299999999734</v>
      </c>
      <c r="U28" s="50">
        <f>T28+Monthly!M550</f>
        <v>2.9999999973142621E-3</v>
      </c>
    </row>
    <row r="29" spans="1:21" x14ac:dyDescent="0.25">
      <c r="A29" s="13" t="s">
        <v>92</v>
      </c>
      <c r="B29" s="1" t="s">
        <v>24</v>
      </c>
      <c r="C29" s="22" t="s">
        <v>63</v>
      </c>
      <c r="D29" s="1" t="s">
        <v>195</v>
      </c>
      <c r="E29" s="24">
        <v>-3739.87</v>
      </c>
      <c r="F29" s="24">
        <v>-3739.87</v>
      </c>
      <c r="G29" s="24">
        <v>-3739.87</v>
      </c>
      <c r="H29" s="24">
        <v>-3739.87</v>
      </c>
      <c r="I29" s="24">
        <v>-3739.87</v>
      </c>
      <c r="J29" s="24">
        <v>-3344.79</v>
      </c>
      <c r="K29" s="24">
        <v>-3344.26</v>
      </c>
      <c r="L29" s="24">
        <v>-3344.26</v>
      </c>
      <c r="M29" s="24">
        <v>-3525.14</v>
      </c>
      <c r="N29" s="24">
        <v>-3525.15</v>
      </c>
      <c r="O29" s="24">
        <v>-3525.14</v>
      </c>
      <c r="P29" s="24"/>
      <c r="Q29" s="24">
        <f t="shared" si="0"/>
        <v>-39308.090000000004</v>
      </c>
      <c r="S29" s="24">
        <f>Monthly!J551*0.03</f>
        <v>42833.235000000001</v>
      </c>
      <c r="T29" s="24">
        <f t="shared" si="1"/>
        <v>3525.1449999999968</v>
      </c>
      <c r="U29" s="50">
        <f>T29+Monthly!M551</f>
        <v>-5.0000000032923708E-3</v>
      </c>
    </row>
    <row r="30" spans="1:21" x14ac:dyDescent="0.25">
      <c r="A30" s="13" t="s">
        <v>92</v>
      </c>
      <c r="B30" s="1" t="s">
        <v>24</v>
      </c>
      <c r="C30" s="22" t="s">
        <v>174</v>
      </c>
      <c r="D30" s="1" t="s">
        <v>196</v>
      </c>
      <c r="E30" s="24">
        <v>-4309.93</v>
      </c>
      <c r="F30" s="24">
        <v>-4309.93</v>
      </c>
      <c r="G30" s="24">
        <v>-4309.93</v>
      </c>
      <c r="H30" s="24">
        <v>-4309.93</v>
      </c>
      <c r="I30" s="24">
        <v>-4309.93</v>
      </c>
      <c r="J30" s="24">
        <v>-4839.99</v>
      </c>
      <c r="K30" s="24">
        <v>-4839.3</v>
      </c>
      <c r="L30" s="24">
        <v>-4839.3</v>
      </c>
      <c r="M30" s="24">
        <v>-5077.3900000000003</v>
      </c>
      <c r="N30" s="24">
        <v>-5077.3900000000003</v>
      </c>
      <c r="O30" s="24">
        <v>-5077.3900000000003</v>
      </c>
      <c r="P30" s="24"/>
      <c r="Q30" s="24">
        <f t="shared" si="0"/>
        <v>-51300.409999999996</v>
      </c>
      <c r="S30" s="24">
        <f>Monthly!J552*0.03</f>
        <v>56377.798499999997</v>
      </c>
      <c r="T30" s="24">
        <f t="shared" si="1"/>
        <v>5077.3885000000009</v>
      </c>
      <c r="U30" s="50">
        <f>T30+Monthly!M552</f>
        <v>-1.4999999993960955E-3</v>
      </c>
    </row>
    <row r="31" spans="1:21" x14ac:dyDescent="0.25">
      <c r="A31" s="13" t="s">
        <v>92</v>
      </c>
      <c r="B31" s="1" t="s">
        <v>24</v>
      </c>
      <c r="C31" s="22" t="s">
        <v>115</v>
      </c>
      <c r="D31" s="1" t="s">
        <v>120</v>
      </c>
      <c r="E31" s="24">
        <v>-3179.77</v>
      </c>
      <c r="F31" s="24">
        <v>-3179.77</v>
      </c>
      <c r="G31" s="24">
        <v>-3179.77</v>
      </c>
      <c r="H31" s="24">
        <v>-3179.77</v>
      </c>
      <c r="I31" s="24">
        <v>-3179.77</v>
      </c>
      <c r="J31" s="24">
        <v>-3939.97</v>
      </c>
      <c r="K31" s="24">
        <v>-3939.43</v>
      </c>
      <c r="L31" s="24">
        <v>-3939.43</v>
      </c>
      <c r="M31" s="24">
        <v>-4126.1899999999996</v>
      </c>
      <c r="N31" s="24">
        <v>-4126.18</v>
      </c>
      <c r="O31" s="24">
        <v>-4126.1899999999996</v>
      </c>
      <c r="P31" s="24"/>
      <c r="Q31" s="24">
        <f t="shared" si="0"/>
        <v>-40096.240000000005</v>
      </c>
      <c r="S31" s="24">
        <f>Monthly!J553*0.03</f>
        <v>44222.420999999995</v>
      </c>
      <c r="T31" s="24">
        <f t="shared" si="1"/>
        <v>4126.1809999999896</v>
      </c>
      <c r="U31" s="50">
        <f>T31+Monthly!M553</f>
        <v>9.9999998928979039E-4</v>
      </c>
    </row>
    <row r="32" spans="1:21" x14ac:dyDescent="0.25">
      <c r="A32" s="13" t="s">
        <v>92</v>
      </c>
      <c r="B32" s="1" t="s">
        <v>24</v>
      </c>
      <c r="C32" s="22" t="s">
        <v>117</v>
      </c>
      <c r="D32" s="1" t="s">
        <v>197</v>
      </c>
      <c r="E32" s="24">
        <v>-4491.8999999999996</v>
      </c>
      <c r="F32" s="24">
        <v>-4491.8999999999996</v>
      </c>
      <c r="G32" s="24">
        <v>-4491.8999999999996</v>
      </c>
      <c r="H32" s="24">
        <v>-4491.8999999999996</v>
      </c>
      <c r="I32" s="24">
        <v>-4491.8999999999996</v>
      </c>
      <c r="J32" s="24">
        <v>-16810.55</v>
      </c>
      <c r="K32" s="24">
        <v>-16808.79</v>
      </c>
      <c r="L32" s="24">
        <v>-16808.79</v>
      </c>
      <c r="M32" s="24">
        <v>-17410.71</v>
      </c>
      <c r="N32" s="24">
        <v>-17410.71</v>
      </c>
      <c r="O32" s="24">
        <v>-17410.72</v>
      </c>
      <c r="P32" s="24"/>
      <c r="Q32" s="24">
        <f t="shared" si="0"/>
        <v>-125119.76999999999</v>
      </c>
      <c r="S32" s="24">
        <f>Monthly!J554*0.03</f>
        <v>142530.48360000001</v>
      </c>
      <c r="T32" s="24">
        <f t="shared" si="1"/>
        <v>17410.713600000017</v>
      </c>
      <c r="U32" s="50">
        <f>T32+Monthly!M554</f>
        <v>3.6000000181957148E-3</v>
      </c>
    </row>
    <row r="33" spans="1:21" x14ac:dyDescent="0.25">
      <c r="A33" s="13" t="s">
        <v>92</v>
      </c>
      <c r="B33" s="1" t="s">
        <v>24</v>
      </c>
      <c r="C33" s="22" t="s">
        <v>64</v>
      </c>
      <c r="D33" s="1" t="s">
        <v>198</v>
      </c>
      <c r="E33" s="24">
        <v>-24997.57</v>
      </c>
      <c r="F33" s="24">
        <v>-24997.57</v>
      </c>
      <c r="G33" s="24">
        <v>-24997.57</v>
      </c>
      <c r="H33" s="24">
        <v>-24997.57</v>
      </c>
      <c r="I33" s="24">
        <v>-24997.57</v>
      </c>
      <c r="J33" s="24">
        <v>-23542.01</v>
      </c>
      <c r="K33" s="24">
        <v>-23538.38</v>
      </c>
      <c r="L33" s="24">
        <v>-23538.38</v>
      </c>
      <c r="M33" s="24">
        <v>-24783.09</v>
      </c>
      <c r="N33" s="24">
        <v>-24783.08</v>
      </c>
      <c r="O33" s="24">
        <v>-24783.09</v>
      </c>
      <c r="P33" s="24"/>
      <c r="Q33" s="24">
        <f t="shared" si="0"/>
        <v>-269955.88000000006</v>
      </c>
      <c r="S33" s="24">
        <f>Monthly!J555*0.03</f>
        <v>294738.96299999999</v>
      </c>
      <c r="T33" s="24">
        <f t="shared" si="1"/>
        <v>24783.082999999926</v>
      </c>
      <c r="U33" s="50">
        <f>T33+Monthly!M555</f>
        <v>2.9999999242136255E-3</v>
      </c>
    </row>
    <row r="34" spans="1:21" x14ac:dyDescent="0.25">
      <c r="A34" s="13" t="s">
        <v>92</v>
      </c>
      <c r="B34" s="1" t="s">
        <v>24</v>
      </c>
      <c r="C34" s="22" t="s">
        <v>116</v>
      </c>
      <c r="D34" s="1" t="s">
        <v>199</v>
      </c>
      <c r="E34" s="24">
        <v>-1915.52</v>
      </c>
      <c r="F34" s="24">
        <v>-1915.52</v>
      </c>
      <c r="G34" s="24">
        <v>-1915.52</v>
      </c>
      <c r="H34" s="24">
        <v>-1915.52</v>
      </c>
      <c r="I34" s="24">
        <v>-1915.52</v>
      </c>
      <c r="J34" s="24">
        <v>-5802.34</v>
      </c>
      <c r="K34" s="24">
        <v>-5801.71</v>
      </c>
      <c r="L34" s="24">
        <v>-5801.71</v>
      </c>
      <c r="M34" s="24">
        <v>-6017.31</v>
      </c>
      <c r="N34" s="24">
        <v>-6017.31</v>
      </c>
      <c r="O34" s="24">
        <v>-6017.3</v>
      </c>
      <c r="P34" s="24"/>
      <c r="Q34" s="24">
        <f t="shared" si="0"/>
        <v>-45035.28</v>
      </c>
      <c r="S34" s="24">
        <f>Monthly!J556*0.03</f>
        <v>51052.585500000001</v>
      </c>
      <c r="T34" s="24">
        <f t="shared" si="1"/>
        <v>6017.3055000000022</v>
      </c>
      <c r="U34" s="50">
        <f>T34+Monthly!M556</f>
        <v>-4.4999999981882866E-3</v>
      </c>
    </row>
    <row r="35" spans="1:21" x14ac:dyDescent="0.25">
      <c r="A35" s="13" t="s">
        <v>93</v>
      </c>
      <c r="B35" s="5" t="s">
        <v>19</v>
      </c>
      <c r="C35" s="21" t="s">
        <v>59</v>
      </c>
      <c r="D35" s="5" t="s">
        <v>200</v>
      </c>
      <c r="E35" s="24">
        <v>-6257.79</v>
      </c>
      <c r="F35" s="24">
        <v>-6257.79</v>
      </c>
      <c r="G35" s="24">
        <v>-6257.79</v>
      </c>
      <c r="H35" s="24">
        <v>-6257.79</v>
      </c>
      <c r="I35" s="24">
        <v>-6257.79</v>
      </c>
      <c r="J35" s="24">
        <v>-6405.98</v>
      </c>
      <c r="K35" s="24">
        <v>-6410.12</v>
      </c>
      <c r="L35" s="24">
        <v>-6410.12</v>
      </c>
      <c r="M35" s="24">
        <v>-6740.97</v>
      </c>
      <c r="N35" s="24">
        <v>-6740.97</v>
      </c>
      <c r="O35" s="24">
        <v>-6740.97</v>
      </c>
      <c r="P35" s="24"/>
      <c r="Q35" s="24">
        <f t="shared" si="0"/>
        <v>-70738.080000000002</v>
      </c>
      <c r="S35" s="24">
        <f>Monthly!J557*0.03</f>
        <v>77479.058099999995</v>
      </c>
      <c r="T35" s="24">
        <f t="shared" si="1"/>
        <v>6740.978099999993</v>
      </c>
      <c r="U35" s="50">
        <f>T35+Monthly!M557</f>
        <v>-1.9000000065716449E-3</v>
      </c>
    </row>
    <row r="36" spans="1:21" x14ac:dyDescent="0.25">
      <c r="A36" s="13" t="s">
        <v>93</v>
      </c>
      <c r="B36" s="7" t="s">
        <v>19</v>
      </c>
      <c r="C36" s="22" t="s">
        <v>60</v>
      </c>
      <c r="D36" s="7" t="s">
        <v>201</v>
      </c>
      <c r="E36" s="24">
        <v>-7571.92</v>
      </c>
      <c r="F36" s="24">
        <v>-7571.92</v>
      </c>
      <c r="G36" s="24">
        <v>-7571.92</v>
      </c>
      <c r="H36" s="24">
        <v>-7571.92</v>
      </c>
      <c r="I36" s="24">
        <v>-7571.92</v>
      </c>
      <c r="J36" s="24">
        <v>-7324.82</v>
      </c>
      <c r="K36" s="24">
        <v>-7323.54</v>
      </c>
      <c r="L36" s="24">
        <v>-7323.54</v>
      </c>
      <c r="M36" s="24">
        <v>-7717.4</v>
      </c>
      <c r="N36" s="24">
        <v>-7717.4</v>
      </c>
      <c r="O36" s="24">
        <v>-7717.4</v>
      </c>
      <c r="P36" s="24"/>
      <c r="Q36" s="24">
        <f t="shared" si="0"/>
        <v>-82983.699999999983</v>
      </c>
      <c r="S36" s="24">
        <f>Monthly!J558*0.03</f>
        <v>90701.096399999995</v>
      </c>
      <c r="T36" s="24">
        <f t="shared" si="1"/>
        <v>7717.3964000000124</v>
      </c>
      <c r="U36" s="50">
        <f>T36+Monthly!M558</f>
        <v>-3.5999999872728949E-3</v>
      </c>
    </row>
    <row r="37" spans="1:21" x14ac:dyDescent="0.25">
      <c r="A37" s="13" t="s">
        <v>94</v>
      </c>
      <c r="B37" s="5" t="s">
        <v>40</v>
      </c>
      <c r="C37" s="21" t="s">
        <v>82</v>
      </c>
      <c r="D37" s="5" t="s">
        <v>202</v>
      </c>
      <c r="E37" s="24">
        <v>-1707.06</v>
      </c>
      <c r="F37" s="24">
        <v>-1707.06</v>
      </c>
      <c r="G37" s="24">
        <v>-1707.06</v>
      </c>
      <c r="H37" s="24">
        <v>-1707.06</v>
      </c>
      <c r="I37" s="24">
        <v>-1707.06</v>
      </c>
      <c r="J37" s="24">
        <v>-1632.1</v>
      </c>
      <c r="K37" s="24">
        <v>-1631.81</v>
      </c>
      <c r="L37" s="24">
        <v>-1631.8</v>
      </c>
      <c r="M37" s="24">
        <v>-1719.91</v>
      </c>
      <c r="N37" s="24">
        <v>-1719.91</v>
      </c>
      <c r="O37" s="24">
        <v>-1719.9</v>
      </c>
      <c r="P37" s="24"/>
      <c r="Q37" s="24">
        <f t="shared" si="0"/>
        <v>-18590.73</v>
      </c>
      <c r="S37" s="24">
        <f>Monthly!J559*0.03</f>
        <v>20310.6351</v>
      </c>
      <c r="T37" s="24">
        <f t="shared" si="1"/>
        <v>1719.9050999999999</v>
      </c>
      <c r="U37" s="50">
        <f>T37+Monthly!M559</f>
        <v>-4.9000000001342414E-3</v>
      </c>
    </row>
    <row r="38" spans="1:21" x14ac:dyDescent="0.25">
      <c r="A38" s="13" t="s">
        <v>95</v>
      </c>
      <c r="B38" s="5" t="s">
        <v>175</v>
      </c>
      <c r="C38" s="21" t="s">
        <v>74</v>
      </c>
      <c r="D38" s="5" t="s">
        <v>203</v>
      </c>
      <c r="E38" s="24">
        <v>-2658.78</v>
      </c>
      <c r="F38" s="24">
        <v>-2658.78</v>
      </c>
      <c r="G38" s="24">
        <v>-2658.78</v>
      </c>
      <c r="H38" s="24">
        <v>-2658.78</v>
      </c>
      <c r="I38" s="24">
        <v>-2658.78</v>
      </c>
      <c r="J38" s="24">
        <v>-2652.97</v>
      </c>
      <c r="K38" s="24">
        <v>-2647.24</v>
      </c>
      <c r="L38" s="24">
        <v>-2647.24</v>
      </c>
      <c r="M38" s="24">
        <v>-2785.85</v>
      </c>
      <c r="N38" s="24">
        <v>-2785.85</v>
      </c>
      <c r="O38" s="24">
        <v>-2785.85</v>
      </c>
      <c r="P38" s="24"/>
      <c r="Q38" s="24">
        <f t="shared" si="0"/>
        <v>-29598.899999999994</v>
      </c>
      <c r="S38" s="24">
        <f>Monthly!J560*0.03</f>
        <v>32384.748000000003</v>
      </c>
      <c r="T38" s="24">
        <f t="shared" si="1"/>
        <v>2785.8480000000091</v>
      </c>
      <c r="U38" s="50">
        <f>T38+Monthly!M560</f>
        <v>-1.9999999908577593E-3</v>
      </c>
    </row>
    <row r="39" spans="1:21" x14ac:dyDescent="0.25">
      <c r="A39" s="13" t="s">
        <v>86</v>
      </c>
      <c r="B39" s="5" t="s">
        <v>176</v>
      </c>
      <c r="C39" s="21" t="s">
        <v>67</v>
      </c>
      <c r="D39" s="5" t="s">
        <v>204</v>
      </c>
      <c r="E39" s="24">
        <v>-10061.85</v>
      </c>
      <c r="F39" s="24">
        <v>-10061.85</v>
      </c>
      <c r="G39" s="24">
        <v>-10061.85</v>
      </c>
      <c r="H39" s="24">
        <v>-10061.85</v>
      </c>
      <c r="I39" s="24">
        <v>-10061.85</v>
      </c>
      <c r="J39" s="24">
        <v>-8652.35</v>
      </c>
      <c r="K39" s="24">
        <v>-8650.77</v>
      </c>
      <c r="L39" s="24">
        <v>-8650.77</v>
      </c>
      <c r="M39" s="24">
        <v>-9145.65</v>
      </c>
      <c r="N39" s="24">
        <v>-9145.64</v>
      </c>
      <c r="O39" s="24">
        <v>-9145.65</v>
      </c>
      <c r="P39" s="24"/>
      <c r="Q39" s="24">
        <f t="shared" si="0"/>
        <v>-103700.07999999999</v>
      </c>
      <c r="S39" s="24">
        <f>Monthly!J561*0.03</f>
        <v>112845.72</v>
      </c>
      <c r="T39" s="24">
        <f t="shared" si="1"/>
        <v>9145.640000000014</v>
      </c>
      <c r="U39" s="50">
        <f>T39+Monthly!M561</f>
        <v>1.4551915228366852E-11</v>
      </c>
    </row>
    <row r="40" spans="1:21" x14ac:dyDescent="0.25">
      <c r="A40" t="s">
        <v>86</v>
      </c>
      <c r="B40" t="s">
        <v>176</v>
      </c>
      <c r="C40" t="s">
        <v>47</v>
      </c>
      <c r="D40" t="s">
        <v>205</v>
      </c>
      <c r="E40" s="24">
        <v>-6636.54</v>
      </c>
      <c r="F40" s="24">
        <v>-6636.54</v>
      </c>
      <c r="G40" s="24">
        <v>-6636.54</v>
      </c>
      <c r="H40" s="24">
        <v>-6636.54</v>
      </c>
      <c r="I40" s="24">
        <v>-6636.54</v>
      </c>
      <c r="J40" s="24">
        <v>-5011.79</v>
      </c>
      <c r="K40" s="24">
        <v>-5010.87</v>
      </c>
      <c r="L40" s="24">
        <v>-5010.87</v>
      </c>
      <c r="M40" s="24">
        <v>-5308</v>
      </c>
      <c r="N40" s="24">
        <v>-5308</v>
      </c>
      <c r="O40" s="24">
        <v>-5308.01</v>
      </c>
      <c r="P40" s="24"/>
      <c r="Q40" s="24">
        <f t="shared" si="0"/>
        <v>-64140.240000000005</v>
      </c>
      <c r="S40" s="24">
        <f>Monthly!J562*0.03</f>
        <v>69448.241399999999</v>
      </c>
      <c r="T40" s="24">
        <f t="shared" si="1"/>
        <v>5308.0013999999937</v>
      </c>
      <c r="U40" s="50">
        <f>T40+Monthly!M562</f>
        <v>1.3999999937368557E-3</v>
      </c>
    </row>
    <row r="41" spans="1:21" x14ac:dyDescent="0.25">
      <c r="A41" s="13" t="s">
        <v>86</v>
      </c>
      <c r="B41" t="s">
        <v>176</v>
      </c>
      <c r="C41" t="s">
        <v>48</v>
      </c>
      <c r="D41" t="s">
        <v>206</v>
      </c>
      <c r="E41" s="24">
        <v>-5504.04</v>
      </c>
      <c r="F41" s="24">
        <v>-5504.04</v>
      </c>
      <c r="G41" s="24">
        <v>-5504.04</v>
      </c>
      <c r="H41" s="24">
        <v>-5504.04</v>
      </c>
      <c r="I41" s="24">
        <v>-5504.04</v>
      </c>
      <c r="J41" s="24">
        <v>-4709.1899999999996</v>
      </c>
      <c r="K41" s="24">
        <v>-4696.1400000000003</v>
      </c>
      <c r="L41" s="24">
        <v>-4696.1400000000003</v>
      </c>
      <c r="M41" s="24">
        <v>-4956.66</v>
      </c>
      <c r="N41" s="24">
        <v>-4956.66</v>
      </c>
      <c r="O41" s="24">
        <v>-4956.66</v>
      </c>
      <c r="P41" s="24"/>
      <c r="Q41" s="24">
        <f t="shared" si="0"/>
        <v>-56491.650000000009</v>
      </c>
      <c r="S41" s="24">
        <f>Monthly!J563*0.03</f>
        <v>61448.31</v>
      </c>
      <c r="T41" s="24">
        <f t="shared" si="1"/>
        <v>4956.6599999999889</v>
      </c>
      <c r="U41" s="50">
        <f>T41+Monthly!M563</f>
        <v>-1.0913936421275139E-11</v>
      </c>
    </row>
    <row r="42" spans="1:21" x14ac:dyDescent="0.25">
      <c r="P42" s="24"/>
    </row>
    <row r="43" spans="1:21" x14ac:dyDescent="0.25">
      <c r="A43" s="13" t="s">
        <v>125</v>
      </c>
      <c r="E43" s="24">
        <f>SUM(E2:E42)</f>
        <v>-380424.13</v>
      </c>
      <c r="F43" s="24">
        <f t="shared" ref="F43:Q43" si="2">SUM(F2:F42)</f>
        <v>-380424.13</v>
      </c>
      <c r="G43" s="24">
        <f t="shared" si="2"/>
        <v>-380424.13</v>
      </c>
      <c r="H43" s="24">
        <f t="shared" si="2"/>
        <v>-380424.13</v>
      </c>
      <c r="I43" s="24">
        <f t="shared" si="2"/>
        <v>-380424.13</v>
      </c>
      <c r="J43" s="24">
        <f t="shared" si="2"/>
        <v>-380537.86999999988</v>
      </c>
      <c r="K43" s="24">
        <f t="shared" si="2"/>
        <v>-380464.80999999994</v>
      </c>
      <c r="L43" s="24">
        <f t="shared" si="2"/>
        <v>-380684.44999999995</v>
      </c>
      <c r="M43" s="24">
        <f t="shared" si="2"/>
        <v>-400399.35000000003</v>
      </c>
      <c r="N43" s="24">
        <f t="shared" si="2"/>
        <v>-400399.33</v>
      </c>
      <c r="O43" s="24">
        <f t="shared" si="2"/>
        <v>-400606.45000000013</v>
      </c>
      <c r="P43" s="24">
        <f t="shared" si="2"/>
        <v>0</v>
      </c>
      <c r="Q43" s="24">
        <f t="shared" si="2"/>
        <v>-4245212.9100000011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9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.75" x14ac:dyDescent="0.2"/>
  <cols>
    <col min="1" max="1" width="15.140625" style="29" customWidth="1"/>
    <col min="2" max="2" width="15.140625" style="29" bestFit="1" customWidth="1"/>
    <col min="3" max="4" width="18.5703125" style="30" bestFit="1" customWidth="1"/>
    <col min="5" max="5" width="20.140625" style="30" bestFit="1" customWidth="1"/>
    <col min="6" max="6" width="16.42578125" style="32" bestFit="1" customWidth="1"/>
    <col min="7" max="7" width="13.5703125" style="32" bestFit="1" customWidth="1"/>
    <col min="8" max="8" width="17.5703125" style="32" bestFit="1" customWidth="1"/>
    <col min="9" max="9" width="15" style="32" customWidth="1"/>
    <col min="10" max="10" width="15.85546875" style="29" customWidth="1"/>
    <col min="11" max="11" width="17.28515625" style="29" customWidth="1"/>
    <col min="12" max="12" width="18.28515625" style="29" customWidth="1"/>
    <col min="13" max="13" width="19.5703125" style="29" bestFit="1" customWidth="1"/>
    <col min="14" max="15" width="8.7109375" style="29"/>
    <col min="16" max="16" width="13.140625" style="29" bestFit="1" customWidth="1"/>
    <col min="17" max="20" width="8.7109375" style="29"/>
    <col min="21" max="21" width="14.28515625" style="29" bestFit="1" customWidth="1"/>
    <col min="22" max="22" width="36.7109375" style="29" bestFit="1" customWidth="1"/>
    <col min="23" max="254" width="8.7109375" style="29"/>
    <col min="255" max="255" width="15.140625" style="29" customWidth="1"/>
    <col min="256" max="256" width="15.140625" style="29" bestFit="1" customWidth="1"/>
    <col min="257" max="258" width="18.5703125" style="29" bestFit="1" customWidth="1"/>
    <col min="259" max="259" width="16.42578125" style="29" bestFit="1" customWidth="1"/>
    <col min="260" max="260" width="13.5703125" style="29" bestFit="1" customWidth="1"/>
    <col min="261" max="261" width="17.5703125" style="29" bestFit="1" customWidth="1"/>
    <col min="262" max="262" width="17.28515625" style="29" bestFit="1" customWidth="1"/>
    <col min="263" max="263" width="22.5703125" style="29" bestFit="1" customWidth="1"/>
    <col min="264" max="264" width="15.85546875" style="29" bestFit="1" customWidth="1"/>
    <col min="265" max="265" width="17.28515625" style="29" bestFit="1" customWidth="1"/>
    <col min="266" max="266" width="18.28515625" style="29" bestFit="1" customWidth="1"/>
    <col min="267" max="267" width="19.5703125" style="29" bestFit="1" customWidth="1"/>
    <col min="268" max="510" width="8.7109375" style="29"/>
    <col min="511" max="511" width="15.140625" style="29" customWidth="1"/>
    <col min="512" max="512" width="15.140625" style="29" bestFit="1" customWidth="1"/>
    <col min="513" max="514" width="18.5703125" style="29" bestFit="1" customWidth="1"/>
    <col min="515" max="515" width="16.42578125" style="29" bestFit="1" customWidth="1"/>
    <col min="516" max="516" width="13.5703125" style="29" bestFit="1" customWidth="1"/>
    <col min="517" max="517" width="17.5703125" style="29" bestFit="1" customWidth="1"/>
    <col min="518" max="518" width="17.28515625" style="29" bestFit="1" customWidth="1"/>
    <col min="519" max="519" width="22.5703125" style="29" bestFit="1" customWidth="1"/>
    <col min="520" max="520" width="15.85546875" style="29" bestFit="1" customWidth="1"/>
    <col min="521" max="521" width="17.28515625" style="29" bestFit="1" customWidth="1"/>
    <col min="522" max="522" width="18.28515625" style="29" bestFit="1" customWidth="1"/>
    <col min="523" max="523" width="19.5703125" style="29" bestFit="1" customWidth="1"/>
    <col min="524" max="766" width="8.7109375" style="29"/>
    <col min="767" max="767" width="15.140625" style="29" customWidth="1"/>
    <col min="768" max="768" width="15.140625" style="29" bestFit="1" customWidth="1"/>
    <col min="769" max="770" width="18.5703125" style="29" bestFit="1" customWidth="1"/>
    <col min="771" max="771" width="16.42578125" style="29" bestFit="1" customWidth="1"/>
    <col min="772" max="772" width="13.5703125" style="29" bestFit="1" customWidth="1"/>
    <col min="773" max="773" width="17.5703125" style="29" bestFit="1" customWidth="1"/>
    <col min="774" max="774" width="17.28515625" style="29" bestFit="1" customWidth="1"/>
    <col min="775" max="775" width="22.5703125" style="29" bestFit="1" customWidth="1"/>
    <col min="776" max="776" width="15.85546875" style="29" bestFit="1" customWidth="1"/>
    <col min="777" max="777" width="17.28515625" style="29" bestFit="1" customWidth="1"/>
    <col min="778" max="778" width="18.28515625" style="29" bestFit="1" customWidth="1"/>
    <col min="779" max="779" width="19.5703125" style="29" bestFit="1" customWidth="1"/>
    <col min="780" max="1022" width="8.7109375" style="29"/>
    <col min="1023" max="1023" width="15.140625" style="29" customWidth="1"/>
    <col min="1024" max="1024" width="15.140625" style="29" bestFit="1" customWidth="1"/>
    <col min="1025" max="1026" width="18.5703125" style="29" bestFit="1" customWidth="1"/>
    <col min="1027" max="1027" width="16.42578125" style="29" bestFit="1" customWidth="1"/>
    <col min="1028" max="1028" width="13.5703125" style="29" bestFit="1" customWidth="1"/>
    <col min="1029" max="1029" width="17.5703125" style="29" bestFit="1" customWidth="1"/>
    <col min="1030" max="1030" width="17.28515625" style="29" bestFit="1" customWidth="1"/>
    <col min="1031" max="1031" width="22.5703125" style="29" bestFit="1" customWidth="1"/>
    <col min="1032" max="1032" width="15.85546875" style="29" bestFit="1" customWidth="1"/>
    <col min="1033" max="1033" width="17.28515625" style="29" bestFit="1" customWidth="1"/>
    <col min="1034" max="1034" width="18.28515625" style="29" bestFit="1" customWidth="1"/>
    <col min="1035" max="1035" width="19.5703125" style="29" bestFit="1" customWidth="1"/>
    <col min="1036" max="1278" width="8.7109375" style="29"/>
    <col min="1279" max="1279" width="15.140625" style="29" customWidth="1"/>
    <col min="1280" max="1280" width="15.140625" style="29" bestFit="1" customWidth="1"/>
    <col min="1281" max="1282" width="18.5703125" style="29" bestFit="1" customWidth="1"/>
    <col min="1283" max="1283" width="16.42578125" style="29" bestFit="1" customWidth="1"/>
    <col min="1284" max="1284" width="13.5703125" style="29" bestFit="1" customWidth="1"/>
    <col min="1285" max="1285" width="17.5703125" style="29" bestFit="1" customWidth="1"/>
    <col min="1286" max="1286" width="17.28515625" style="29" bestFit="1" customWidth="1"/>
    <col min="1287" max="1287" width="22.5703125" style="29" bestFit="1" customWidth="1"/>
    <col min="1288" max="1288" width="15.85546875" style="29" bestFit="1" customWidth="1"/>
    <col min="1289" max="1289" width="17.28515625" style="29" bestFit="1" customWidth="1"/>
    <col min="1290" max="1290" width="18.28515625" style="29" bestFit="1" customWidth="1"/>
    <col min="1291" max="1291" width="19.5703125" style="29" bestFit="1" customWidth="1"/>
    <col min="1292" max="1534" width="8.7109375" style="29"/>
    <col min="1535" max="1535" width="15.140625" style="29" customWidth="1"/>
    <col min="1536" max="1536" width="15.140625" style="29" bestFit="1" customWidth="1"/>
    <col min="1537" max="1538" width="18.5703125" style="29" bestFit="1" customWidth="1"/>
    <col min="1539" max="1539" width="16.42578125" style="29" bestFit="1" customWidth="1"/>
    <col min="1540" max="1540" width="13.5703125" style="29" bestFit="1" customWidth="1"/>
    <col min="1541" max="1541" width="17.5703125" style="29" bestFit="1" customWidth="1"/>
    <col min="1542" max="1542" width="17.28515625" style="29" bestFit="1" customWidth="1"/>
    <col min="1543" max="1543" width="22.5703125" style="29" bestFit="1" customWidth="1"/>
    <col min="1544" max="1544" width="15.85546875" style="29" bestFit="1" customWidth="1"/>
    <col min="1545" max="1545" width="17.28515625" style="29" bestFit="1" customWidth="1"/>
    <col min="1546" max="1546" width="18.28515625" style="29" bestFit="1" customWidth="1"/>
    <col min="1547" max="1547" width="19.5703125" style="29" bestFit="1" customWidth="1"/>
    <col min="1548" max="1790" width="8.7109375" style="29"/>
    <col min="1791" max="1791" width="15.140625" style="29" customWidth="1"/>
    <col min="1792" max="1792" width="15.140625" style="29" bestFit="1" customWidth="1"/>
    <col min="1793" max="1794" width="18.5703125" style="29" bestFit="1" customWidth="1"/>
    <col min="1795" max="1795" width="16.42578125" style="29" bestFit="1" customWidth="1"/>
    <col min="1796" max="1796" width="13.5703125" style="29" bestFit="1" customWidth="1"/>
    <col min="1797" max="1797" width="17.5703125" style="29" bestFit="1" customWidth="1"/>
    <col min="1798" max="1798" width="17.28515625" style="29" bestFit="1" customWidth="1"/>
    <col min="1799" max="1799" width="22.5703125" style="29" bestFit="1" customWidth="1"/>
    <col min="1800" max="1800" width="15.85546875" style="29" bestFit="1" customWidth="1"/>
    <col min="1801" max="1801" width="17.28515625" style="29" bestFit="1" customWidth="1"/>
    <col min="1802" max="1802" width="18.28515625" style="29" bestFit="1" customWidth="1"/>
    <col min="1803" max="1803" width="19.5703125" style="29" bestFit="1" customWidth="1"/>
    <col min="1804" max="2046" width="8.7109375" style="29"/>
    <col min="2047" max="2047" width="15.140625" style="29" customWidth="1"/>
    <col min="2048" max="2048" width="15.140625" style="29" bestFit="1" customWidth="1"/>
    <col min="2049" max="2050" width="18.5703125" style="29" bestFit="1" customWidth="1"/>
    <col min="2051" max="2051" width="16.42578125" style="29" bestFit="1" customWidth="1"/>
    <col min="2052" max="2052" width="13.5703125" style="29" bestFit="1" customWidth="1"/>
    <col min="2053" max="2053" width="17.5703125" style="29" bestFit="1" customWidth="1"/>
    <col min="2054" max="2054" width="17.28515625" style="29" bestFit="1" customWidth="1"/>
    <col min="2055" max="2055" width="22.5703125" style="29" bestFit="1" customWidth="1"/>
    <col min="2056" max="2056" width="15.85546875" style="29" bestFit="1" customWidth="1"/>
    <col min="2057" max="2057" width="17.28515625" style="29" bestFit="1" customWidth="1"/>
    <col min="2058" max="2058" width="18.28515625" style="29" bestFit="1" customWidth="1"/>
    <col min="2059" max="2059" width="19.5703125" style="29" bestFit="1" customWidth="1"/>
    <col min="2060" max="2302" width="8.7109375" style="29"/>
    <col min="2303" max="2303" width="15.140625" style="29" customWidth="1"/>
    <col min="2304" max="2304" width="15.140625" style="29" bestFit="1" customWidth="1"/>
    <col min="2305" max="2306" width="18.5703125" style="29" bestFit="1" customWidth="1"/>
    <col min="2307" max="2307" width="16.42578125" style="29" bestFit="1" customWidth="1"/>
    <col min="2308" max="2308" width="13.5703125" style="29" bestFit="1" customWidth="1"/>
    <col min="2309" max="2309" width="17.5703125" style="29" bestFit="1" customWidth="1"/>
    <col min="2310" max="2310" width="17.28515625" style="29" bestFit="1" customWidth="1"/>
    <col min="2311" max="2311" width="22.5703125" style="29" bestFit="1" customWidth="1"/>
    <col min="2312" max="2312" width="15.85546875" style="29" bestFit="1" customWidth="1"/>
    <col min="2313" max="2313" width="17.28515625" style="29" bestFit="1" customWidth="1"/>
    <col min="2314" max="2314" width="18.28515625" style="29" bestFit="1" customWidth="1"/>
    <col min="2315" max="2315" width="19.5703125" style="29" bestFit="1" customWidth="1"/>
    <col min="2316" max="2558" width="8.7109375" style="29"/>
    <col min="2559" max="2559" width="15.140625" style="29" customWidth="1"/>
    <col min="2560" max="2560" width="15.140625" style="29" bestFit="1" customWidth="1"/>
    <col min="2561" max="2562" width="18.5703125" style="29" bestFit="1" customWidth="1"/>
    <col min="2563" max="2563" width="16.42578125" style="29" bestFit="1" customWidth="1"/>
    <col min="2564" max="2564" width="13.5703125" style="29" bestFit="1" customWidth="1"/>
    <col min="2565" max="2565" width="17.5703125" style="29" bestFit="1" customWidth="1"/>
    <col min="2566" max="2566" width="17.28515625" style="29" bestFit="1" customWidth="1"/>
    <col min="2567" max="2567" width="22.5703125" style="29" bestFit="1" customWidth="1"/>
    <col min="2568" max="2568" width="15.85546875" style="29" bestFit="1" customWidth="1"/>
    <col min="2569" max="2569" width="17.28515625" style="29" bestFit="1" customWidth="1"/>
    <col min="2570" max="2570" width="18.28515625" style="29" bestFit="1" customWidth="1"/>
    <col min="2571" max="2571" width="19.5703125" style="29" bestFit="1" customWidth="1"/>
    <col min="2572" max="2814" width="8.7109375" style="29"/>
    <col min="2815" max="2815" width="15.140625" style="29" customWidth="1"/>
    <col min="2816" max="2816" width="15.140625" style="29" bestFit="1" customWidth="1"/>
    <col min="2817" max="2818" width="18.5703125" style="29" bestFit="1" customWidth="1"/>
    <col min="2819" max="2819" width="16.42578125" style="29" bestFit="1" customWidth="1"/>
    <col min="2820" max="2820" width="13.5703125" style="29" bestFit="1" customWidth="1"/>
    <col min="2821" max="2821" width="17.5703125" style="29" bestFit="1" customWidth="1"/>
    <col min="2822" max="2822" width="17.28515625" style="29" bestFit="1" customWidth="1"/>
    <col min="2823" max="2823" width="22.5703125" style="29" bestFit="1" customWidth="1"/>
    <col min="2824" max="2824" width="15.85546875" style="29" bestFit="1" customWidth="1"/>
    <col min="2825" max="2825" width="17.28515625" style="29" bestFit="1" customWidth="1"/>
    <col min="2826" max="2826" width="18.28515625" style="29" bestFit="1" customWidth="1"/>
    <col min="2827" max="2827" width="19.5703125" style="29" bestFit="1" customWidth="1"/>
    <col min="2828" max="3070" width="8.7109375" style="29"/>
    <col min="3071" max="3071" width="15.140625" style="29" customWidth="1"/>
    <col min="3072" max="3072" width="15.140625" style="29" bestFit="1" customWidth="1"/>
    <col min="3073" max="3074" width="18.5703125" style="29" bestFit="1" customWidth="1"/>
    <col min="3075" max="3075" width="16.42578125" style="29" bestFit="1" customWidth="1"/>
    <col min="3076" max="3076" width="13.5703125" style="29" bestFit="1" customWidth="1"/>
    <col min="3077" max="3077" width="17.5703125" style="29" bestFit="1" customWidth="1"/>
    <col min="3078" max="3078" width="17.28515625" style="29" bestFit="1" customWidth="1"/>
    <col min="3079" max="3079" width="22.5703125" style="29" bestFit="1" customWidth="1"/>
    <col min="3080" max="3080" width="15.85546875" style="29" bestFit="1" customWidth="1"/>
    <col min="3081" max="3081" width="17.28515625" style="29" bestFit="1" customWidth="1"/>
    <col min="3082" max="3082" width="18.28515625" style="29" bestFit="1" customWidth="1"/>
    <col min="3083" max="3083" width="19.5703125" style="29" bestFit="1" customWidth="1"/>
    <col min="3084" max="3326" width="8.7109375" style="29"/>
    <col min="3327" max="3327" width="15.140625" style="29" customWidth="1"/>
    <col min="3328" max="3328" width="15.140625" style="29" bestFit="1" customWidth="1"/>
    <col min="3329" max="3330" width="18.5703125" style="29" bestFit="1" customWidth="1"/>
    <col min="3331" max="3331" width="16.42578125" style="29" bestFit="1" customWidth="1"/>
    <col min="3332" max="3332" width="13.5703125" style="29" bestFit="1" customWidth="1"/>
    <col min="3333" max="3333" width="17.5703125" style="29" bestFit="1" customWidth="1"/>
    <col min="3334" max="3334" width="17.28515625" style="29" bestFit="1" customWidth="1"/>
    <col min="3335" max="3335" width="22.5703125" style="29" bestFit="1" customWidth="1"/>
    <col min="3336" max="3336" width="15.85546875" style="29" bestFit="1" customWidth="1"/>
    <col min="3337" max="3337" width="17.28515625" style="29" bestFit="1" customWidth="1"/>
    <col min="3338" max="3338" width="18.28515625" style="29" bestFit="1" customWidth="1"/>
    <col min="3339" max="3339" width="19.5703125" style="29" bestFit="1" customWidth="1"/>
    <col min="3340" max="3582" width="8.7109375" style="29"/>
    <col min="3583" max="3583" width="15.140625" style="29" customWidth="1"/>
    <col min="3584" max="3584" width="15.140625" style="29" bestFit="1" customWidth="1"/>
    <col min="3585" max="3586" width="18.5703125" style="29" bestFit="1" customWidth="1"/>
    <col min="3587" max="3587" width="16.42578125" style="29" bestFit="1" customWidth="1"/>
    <col min="3588" max="3588" width="13.5703125" style="29" bestFit="1" customWidth="1"/>
    <col min="3589" max="3589" width="17.5703125" style="29" bestFit="1" customWidth="1"/>
    <col min="3590" max="3590" width="17.28515625" style="29" bestFit="1" customWidth="1"/>
    <col min="3591" max="3591" width="22.5703125" style="29" bestFit="1" customWidth="1"/>
    <col min="3592" max="3592" width="15.85546875" style="29" bestFit="1" customWidth="1"/>
    <col min="3593" max="3593" width="17.28515625" style="29" bestFit="1" customWidth="1"/>
    <col min="3594" max="3594" width="18.28515625" style="29" bestFit="1" customWidth="1"/>
    <col min="3595" max="3595" width="19.5703125" style="29" bestFit="1" customWidth="1"/>
    <col min="3596" max="3838" width="8.7109375" style="29"/>
    <col min="3839" max="3839" width="15.140625" style="29" customWidth="1"/>
    <col min="3840" max="3840" width="15.140625" style="29" bestFit="1" customWidth="1"/>
    <col min="3841" max="3842" width="18.5703125" style="29" bestFit="1" customWidth="1"/>
    <col min="3843" max="3843" width="16.42578125" style="29" bestFit="1" customWidth="1"/>
    <col min="3844" max="3844" width="13.5703125" style="29" bestFit="1" customWidth="1"/>
    <col min="3845" max="3845" width="17.5703125" style="29" bestFit="1" customWidth="1"/>
    <col min="3846" max="3846" width="17.28515625" style="29" bestFit="1" customWidth="1"/>
    <col min="3847" max="3847" width="22.5703125" style="29" bestFit="1" customWidth="1"/>
    <col min="3848" max="3848" width="15.85546875" style="29" bestFit="1" customWidth="1"/>
    <col min="3849" max="3849" width="17.28515625" style="29" bestFit="1" customWidth="1"/>
    <col min="3850" max="3850" width="18.28515625" style="29" bestFit="1" customWidth="1"/>
    <col min="3851" max="3851" width="19.5703125" style="29" bestFit="1" customWidth="1"/>
    <col min="3852" max="4094" width="8.7109375" style="29"/>
    <col min="4095" max="4095" width="15.140625" style="29" customWidth="1"/>
    <col min="4096" max="4096" width="15.140625" style="29" bestFit="1" customWidth="1"/>
    <col min="4097" max="4098" width="18.5703125" style="29" bestFit="1" customWidth="1"/>
    <col min="4099" max="4099" width="16.42578125" style="29" bestFit="1" customWidth="1"/>
    <col min="4100" max="4100" width="13.5703125" style="29" bestFit="1" customWidth="1"/>
    <col min="4101" max="4101" width="17.5703125" style="29" bestFit="1" customWidth="1"/>
    <col min="4102" max="4102" width="17.28515625" style="29" bestFit="1" customWidth="1"/>
    <col min="4103" max="4103" width="22.5703125" style="29" bestFit="1" customWidth="1"/>
    <col min="4104" max="4104" width="15.85546875" style="29" bestFit="1" customWidth="1"/>
    <col min="4105" max="4105" width="17.28515625" style="29" bestFit="1" customWidth="1"/>
    <col min="4106" max="4106" width="18.28515625" style="29" bestFit="1" customWidth="1"/>
    <col min="4107" max="4107" width="19.5703125" style="29" bestFit="1" customWidth="1"/>
    <col min="4108" max="4350" width="8.7109375" style="29"/>
    <col min="4351" max="4351" width="15.140625" style="29" customWidth="1"/>
    <col min="4352" max="4352" width="15.140625" style="29" bestFit="1" customWidth="1"/>
    <col min="4353" max="4354" width="18.5703125" style="29" bestFit="1" customWidth="1"/>
    <col min="4355" max="4355" width="16.42578125" style="29" bestFit="1" customWidth="1"/>
    <col min="4356" max="4356" width="13.5703125" style="29" bestFit="1" customWidth="1"/>
    <col min="4357" max="4357" width="17.5703125" style="29" bestFit="1" customWidth="1"/>
    <col min="4358" max="4358" width="17.28515625" style="29" bestFit="1" customWidth="1"/>
    <col min="4359" max="4359" width="22.5703125" style="29" bestFit="1" customWidth="1"/>
    <col min="4360" max="4360" width="15.85546875" style="29" bestFit="1" customWidth="1"/>
    <col min="4361" max="4361" width="17.28515625" style="29" bestFit="1" customWidth="1"/>
    <col min="4362" max="4362" width="18.28515625" style="29" bestFit="1" customWidth="1"/>
    <col min="4363" max="4363" width="19.5703125" style="29" bestFit="1" customWidth="1"/>
    <col min="4364" max="4606" width="8.7109375" style="29"/>
    <col min="4607" max="4607" width="15.140625" style="29" customWidth="1"/>
    <col min="4608" max="4608" width="15.140625" style="29" bestFit="1" customWidth="1"/>
    <col min="4609" max="4610" width="18.5703125" style="29" bestFit="1" customWidth="1"/>
    <col min="4611" max="4611" width="16.42578125" style="29" bestFit="1" customWidth="1"/>
    <col min="4612" max="4612" width="13.5703125" style="29" bestFit="1" customWidth="1"/>
    <col min="4613" max="4613" width="17.5703125" style="29" bestFit="1" customWidth="1"/>
    <col min="4614" max="4614" width="17.28515625" style="29" bestFit="1" customWidth="1"/>
    <col min="4615" max="4615" width="22.5703125" style="29" bestFit="1" customWidth="1"/>
    <col min="4616" max="4616" width="15.85546875" style="29" bestFit="1" customWidth="1"/>
    <col min="4617" max="4617" width="17.28515625" style="29" bestFit="1" customWidth="1"/>
    <col min="4618" max="4618" width="18.28515625" style="29" bestFit="1" customWidth="1"/>
    <col min="4619" max="4619" width="19.5703125" style="29" bestFit="1" customWidth="1"/>
    <col min="4620" max="4862" width="8.7109375" style="29"/>
    <col min="4863" max="4863" width="15.140625" style="29" customWidth="1"/>
    <col min="4864" max="4864" width="15.140625" style="29" bestFit="1" customWidth="1"/>
    <col min="4865" max="4866" width="18.5703125" style="29" bestFit="1" customWidth="1"/>
    <col min="4867" max="4867" width="16.42578125" style="29" bestFit="1" customWidth="1"/>
    <col min="4868" max="4868" width="13.5703125" style="29" bestFit="1" customWidth="1"/>
    <col min="4869" max="4869" width="17.5703125" style="29" bestFit="1" customWidth="1"/>
    <col min="4870" max="4870" width="17.28515625" style="29" bestFit="1" customWidth="1"/>
    <col min="4871" max="4871" width="22.5703125" style="29" bestFit="1" customWidth="1"/>
    <col min="4872" max="4872" width="15.85546875" style="29" bestFit="1" customWidth="1"/>
    <col min="4873" max="4873" width="17.28515625" style="29" bestFit="1" customWidth="1"/>
    <col min="4874" max="4874" width="18.28515625" style="29" bestFit="1" customWidth="1"/>
    <col min="4875" max="4875" width="19.5703125" style="29" bestFit="1" customWidth="1"/>
    <col min="4876" max="5118" width="8.7109375" style="29"/>
    <col min="5119" max="5119" width="15.140625" style="29" customWidth="1"/>
    <col min="5120" max="5120" width="15.140625" style="29" bestFit="1" customWidth="1"/>
    <col min="5121" max="5122" width="18.5703125" style="29" bestFit="1" customWidth="1"/>
    <col min="5123" max="5123" width="16.42578125" style="29" bestFit="1" customWidth="1"/>
    <col min="5124" max="5124" width="13.5703125" style="29" bestFit="1" customWidth="1"/>
    <col min="5125" max="5125" width="17.5703125" style="29" bestFit="1" customWidth="1"/>
    <col min="5126" max="5126" width="17.28515625" style="29" bestFit="1" customWidth="1"/>
    <col min="5127" max="5127" width="22.5703125" style="29" bestFit="1" customWidth="1"/>
    <col min="5128" max="5128" width="15.85546875" style="29" bestFit="1" customWidth="1"/>
    <col min="5129" max="5129" width="17.28515625" style="29" bestFit="1" customWidth="1"/>
    <col min="5130" max="5130" width="18.28515625" style="29" bestFit="1" customWidth="1"/>
    <col min="5131" max="5131" width="19.5703125" style="29" bestFit="1" customWidth="1"/>
    <col min="5132" max="5374" width="8.7109375" style="29"/>
    <col min="5375" max="5375" width="15.140625" style="29" customWidth="1"/>
    <col min="5376" max="5376" width="15.140625" style="29" bestFit="1" customWidth="1"/>
    <col min="5377" max="5378" width="18.5703125" style="29" bestFit="1" customWidth="1"/>
    <col min="5379" max="5379" width="16.42578125" style="29" bestFit="1" customWidth="1"/>
    <col min="5380" max="5380" width="13.5703125" style="29" bestFit="1" customWidth="1"/>
    <col min="5381" max="5381" width="17.5703125" style="29" bestFit="1" customWidth="1"/>
    <col min="5382" max="5382" width="17.28515625" style="29" bestFit="1" customWidth="1"/>
    <col min="5383" max="5383" width="22.5703125" style="29" bestFit="1" customWidth="1"/>
    <col min="5384" max="5384" width="15.85546875" style="29" bestFit="1" customWidth="1"/>
    <col min="5385" max="5385" width="17.28515625" style="29" bestFit="1" customWidth="1"/>
    <col min="5386" max="5386" width="18.28515625" style="29" bestFit="1" customWidth="1"/>
    <col min="5387" max="5387" width="19.5703125" style="29" bestFit="1" customWidth="1"/>
    <col min="5388" max="5630" width="8.7109375" style="29"/>
    <col min="5631" max="5631" width="15.140625" style="29" customWidth="1"/>
    <col min="5632" max="5632" width="15.140625" style="29" bestFit="1" customWidth="1"/>
    <col min="5633" max="5634" width="18.5703125" style="29" bestFit="1" customWidth="1"/>
    <col min="5635" max="5635" width="16.42578125" style="29" bestFit="1" customWidth="1"/>
    <col min="5636" max="5636" width="13.5703125" style="29" bestFit="1" customWidth="1"/>
    <col min="5637" max="5637" width="17.5703125" style="29" bestFit="1" customWidth="1"/>
    <col min="5638" max="5638" width="17.28515625" style="29" bestFit="1" customWidth="1"/>
    <col min="5639" max="5639" width="22.5703125" style="29" bestFit="1" customWidth="1"/>
    <col min="5640" max="5640" width="15.85546875" style="29" bestFit="1" customWidth="1"/>
    <col min="5641" max="5641" width="17.28515625" style="29" bestFit="1" customWidth="1"/>
    <col min="5642" max="5642" width="18.28515625" style="29" bestFit="1" customWidth="1"/>
    <col min="5643" max="5643" width="19.5703125" style="29" bestFit="1" customWidth="1"/>
    <col min="5644" max="5886" width="8.7109375" style="29"/>
    <col min="5887" max="5887" width="15.140625" style="29" customWidth="1"/>
    <col min="5888" max="5888" width="15.140625" style="29" bestFit="1" customWidth="1"/>
    <col min="5889" max="5890" width="18.5703125" style="29" bestFit="1" customWidth="1"/>
    <col min="5891" max="5891" width="16.42578125" style="29" bestFit="1" customWidth="1"/>
    <col min="5892" max="5892" width="13.5703125" style="29" bestFit="1" customWidth="1"/>
    <col min="5893" max="5893" width="17.5703125" style="29" bestFit="1" customWidth="1"/>
    <col min="5894" max="5894" width="17.28515625" style="29" bestFit="1" customWidth="1"/>
    <col min="5895" max="5895" width="22.5703125" style="29" bestFit="1" customWidth="1"/>
    <col min="5896" max="5896" width="15.85546875" style="29" bestFit="1" customWidth="1"/>
    <col min="5897" max="5897" width="17.28515625" style="29" bestFit="1" customWidth="1"/>
    <col min="5898" max="5898" width="18.28515625" style="29" bestFit="1" customWidth="1"/>
    <col min="5899" max="5899" width="19.5703125" style="29" bestFit="1" customWidth="1"/>
    <col min="5900" max="6142" width="8.7109375" style="29"/>
    <col min="6143" max="6143" width="15.140625" style="29" customWidth="1"/>
    <col min="6144" max="6144" width="15.140625" style="29" bestFit="1" customWidth="1"/>
    <col min="6145" max="6146" width="18.5703125" style="29" bestFit="1" customWidth="1"/>
    <col min="6147" max="6147" width="16.42578125" style="29" bestFit="1" customWidth="1"/>
    <col min="6148" max="6148" width="13.5703125" style="29" bestFit="1" customWidth="1"/>
    <col min="6149" max="6149" width="17.5703125" style="29" bestFit="1" customWidth="1"/>
    <col min="6150" max="6150" width="17.28515625" style="29" bestFit="1" customWidth="1"/>
    <col min="6151" max="6151" width="22.5703125" style="29" bestFit="1" customWidth="1"/>
    <col min="6152" max="6152" width="15.85546875" style="29" bestFit="1" customWidth="1"/>
    <col min="6153" max="6153" width="17.28515625" style="29" bestFit="1" customWidth="1"/>
    <col min="6154" max="6154" width="18.28515625" style="29" bestFit="1" customWidth="1"/>
    <col min="6155" max="6155" width="19.5703125" style="29" bestFit="1" customWidth="1"/>
    <col min="6156" max="6398" width="8.7109375" style="29"/>
    <col min="6399" max="6399" width="15.140625" style="29" customWidth="1"/>
    <col min="6400" max="6400" width="15.140625" style="29" bestFit="1" customWidth="1"/>
    <col min="6401" max="6402" width="18.5703125" style="29" bestFit="1" customWidth="1"/>
    <col min="6403" max="6403" width="16.42578125" style="29" bestFit="1" customWidth="1"/>
    <col min="6404" max="6404" width="13.5703125" style="29" bestFit="1" customWidth="1"/>
    <col min="6405" max="6405" width="17.5703125" style="29" bestFit="1" customWidth="1"/>
    <col min="6406" max="6406" width="17.28515625" style="29" bestFit="1" customWidth="1"/>
    <col min="6407" max="6407" width="22.5703125" style="29" bestFit="1" customWidth="1"/>
    <col min="6408" max="6408" width="15.85546875" style="29" bestFit="1" customWidth="1"/>
    <col min="6409" max="6409" width="17.28515625" style="29" bestFit="1" customWidth="1"/>
    <col min="6410" max="6410" width="18.28515625" style="29" bestFit="1" customWidth="1"/>
    <col min="6411" max="6411" width="19.5703125" style="29" bestFit="1" customWidth="1"/>
    <col min="6412" max="6654" width="8.7109375" style="29"/>
    <col min="6655" max="6655" width="15.140625" style="29" customWidth="1"/>
    <col min="6656" max="6656" width="15.140625" style="29" bestFit="1" customWidth="1"/>
    <col min="6657" max="6658" width="18.5703125" style="29" bestFit="1" customWidth="1"/>
    <col min="6659" max="6659" width="16.42578125" style="29" bestFit="1" customWidth="1"/>
    <col min="6660" max="6660" width="13.5703125" style="29" bestFit="1" customWidth="1"/>
    <col min="6661" max="6661" width="17.5703125" style="29" bestFit="1" customWidth="1"/>
    <col min="6662" max="6662" width="17.28515625" style="29" bestFit="1" customWidth="1"/>
    <col min="6663" max="6663" width="22.5703125" style="29" bestFit="1" customWidth="1"/>
    <col min="6664" max="6664" width="15.85546875" style="29" bestFit="1" customWidth="1"/>
    <col min="6665" max="6665" width="17.28515625" style="29" bestFit="1" customWidth="1"/>
    <col min="6666" max="6666" width="18.28515625" style="29" bestFit="1" customWidth="1"/>
    <col min="6667" max="6667" width="19.5703125" style="29" bestFit="1" customWidth="1"/>
    <col min="6668" max="6910" width="8.7109375" style="29"/>
    <col min="6911" max="6911" width="15.140625" style="29" customWidth="1"/>
    <col min="6912" max="6912" width="15.140625" style="29" bestFit="1" customWidth="1"/>
    <col min="6913" max="6914" width="18.5703125" style="29" bestFit="1" customWidth="1"/>
    <col min="6915" max="6915" width="16.42578125" style="29" bestFit="1" customWidth="1"/>
    <col min="6916" max="6916" width="13.5703125" style="29" bestFit="1" customWidth="1"/>
    <col min="6917" max="6917" width="17.5703125" style="29" bestFit="1" customWidth="1"/>
    <col min="6918" max="6918" width="17.28515625" style="29" bestFit="1" customWidth="1"/>
    <col min="6919" max="6919" width="22.5703125" style="29" bestFit="1" customWidth="1"/>
    <col min="6920" max="6920" width="15.85546875" style="29" bestFit="1" customWidth="1"/>
    <col min="6921" max="6921" width="17.28515625" style="29" bestFit="1" customWidth="1"/>
    <col min="6922" max="6922" width="18.28515625" style="29" bestFit="1" customWidth="1"/>
    <col min="6923" max="6923" width="19.5703125" style="29" bestFit="1" customWidth="1"/>
    <col min="6924" max="7166" width="8.7109375" style="29"/>
    <col min="7167" max="7167" width="15.140625" style="29" customWidth="1"/>
    <col min="7168" max="7168" width="15.140625" style="29" bestFit="1" customWidth="1"/>
    <col min="7169" max="7170" width="18.5703125" style="29" bestFit="1" customWidth="1"/>
    <col min="7171" max="7171" width="16.42578125" style="29" bestFit="1" customWidth="1"/>
    <col min="7172" max="7172" width="13.5703125" style="29" bestFit="1" customWidth="1"/>
    <col min="7173" max="7173" width="17.5703125" style="29" bestFit="1" customWidth="1"/>
    <col min="7174" max="7174" width="17.28515625" style="29" bestFit="1" customWidth="1"/>
    <col min="7175" max="7175" width="22.5703125" style="29" bestFit="1" customWidth="1"/>
    <col min="7176" max="7176" width="15.85546875" style="29" bestFit="1" customWidth="1"/>
    <col min="7177" max="7177" width="17.28515625" style="29" bestFit="1" customWidth="1"/>
    <col min="7178" max="7178" width="18.28515625" style="29" bestFit="1" customWidth="1"/>
    <col min="7179" max="7179" width="19.5703125" style="29" bestFit="1" customWidth="1"/>
    <col min="7180" max="7422" width="8.7109375" style="29"/>
    <col min="7423" max="7423" width="15.140625" style="29" customWidth="1"/>
    <col min="7424" max="7424" width="15.140625" style="29" bestFit="1" customWidth="1"/>
    <col min="7425" max="7426" width="18.5703125" style="29" bestFit="1" customWidth="1"/>
    <col min="7427" max="7427" width="16.42578125" style="29" bestFit="1" customWidth="1"/>
    <col min="7428" max="7428" width="13.5703125" style="29" bestFit="1" customWidth="1"/>
    <col min="7429" max="7429" width="17.5703125" style="29" bestFit="1" customWidth="1"/>
    <col min="7430" max="7430" width="17.28515625" style="29" bestFit="1" customWidth="1"/>
    <col min="7431" max="7431" width="22.5703125" style="29" bestFit="1" customWidth="1"/>
    <col min="7432" max="7432" width="15.85546875" style="29" bestFit="1" customWidth="1"/>
    <col min="7433" max="7433" width="17.28515625" style="29" bestFit="1" customWidth="1"/>
    <col min="7434" max="7434" width="18.28515625" style="29" bestFit="1" customWidth="1"/>
    <col min="7435" max="7435" width="19.5703125" style="29" bestFit="1" customWidth="1"/>
    <col min="7436" max="7678" width="8.7109375" style="29"/>
    <col min="7679" max="7679" width="15.140625" style="29" customWidth="1"/>
    <col min="7680" max="7680" width="15.140625" style="29" bestFit="1" customWidth="1"/>
    <col min="7681" max="7682" width="18.5703125" style="29" bestFit="1" customWidth="1"/>
    <col min="7683" max="7683" width="16.42578125" style="29" bestFit="1" customWidth="1"/>
    <col min="7684" max="7684" width="13.5703125" style="29" bestFit="1" customWidth="1"/>
    <col min="7685" max="7685" width="17.5703125" style="29" bestFit="1" customWidth="1"/>
    <col min="7686" max="7686" width="17.28515625" style="29" bestFit="1" customWidth="1"/>
    <col min="7687" max="7687" width="22.5703125" style="29" bestFit="1" customWidth="1"/>
    <col min="7688" max="7688" width="15.85546875" style="29" bestFit="1" customWidth="1"/>
    <col min="7689" max="7689" width="17.28515625" style="29" bestFit="1" customWidth="1"/>
    <col min="7690" max="7690" width="18.28515625" style="29" bestFit="1" customWidth="1"/>
    <col min="7691" max="7691" width="19.5703125" style="29" bestFit="1" customWidth="1"/>
    <col min="7692" max="7934" width="8.7109375" style="29"/>
    <col min="7935" max="7935" width="15.140625" style="29" customWidth="1"/>
    <col min="7936" max="7936" width="15.140625" style="29" bestFit="1" customWidth="1"/>
    <col min="7937" max="7938" width="18.5703125" style="29" bestFit="1" customWidth="1"/>
    <col min="7939" max="7939" width="16.42578125" style="29" bestFit="1" customWidth="1"/>
    <col min="7940" max="7940" width="13.5703125" style="29" bestFit="1" customWidth="1"/>
    <col min="7941" max="7941" width="17.5703125" style="29" bestFit="1" customWidth="1"/>
    <col min="7942" max="7942" width="17.28515625" style="29" bestFit="1" customWidth="1"/>
    <col min="7943" max="7943" width="22.5703125" style="29" bestFit="1" customWidth="1"/>
    <col min="7944" max="7944" width="15.85546875" style="29" bestFit="1" customWidth="1"/>
    <col min="7945" max="7945" width="17.28515625" style="29" bestFit="1" customWidth="1"/>
    <col min="7946" max="7946" width="18.28515625" style="29" bestFit="1" customWidth="1"/>
    <col min="7947" max="7947" width="19.5703125" style="29" bestFit="1" customWidth="1"/>
    <col min="7948" max="8190" width="8.7109375" style="29"/>
    <col min="8191" max="8191" width="15.140625" style="29" customWidth="1"/>
    <col min="8192" max="8192" width="15.140625" style="29" bestFit="1" customWidth="1"/>
    <col min="8193" max="8194" width="18.5703125" style="29" bestFit="1" customWidth="1"/>
    <col min="8195" max="8195" width="16.42578125" style="29" bestFit="1" customWidth="1"/>
    <col min="8196" max="8196" width="13.5703125" style="29" bestFit="1" customWidth="1"/>
    <col min="8197" max="8197" width="17.5703125" style="29" bestFit="1" customWidth="1"/>
    <col min="8198" max="8198" width="17.28515625" style="29" bestFit="1" customWidth="1"/>
    <col min="8199" max="8199" width="22.5703125" style="29" bestFit="1" customWidth="1"/>
    <col min="8200" max="8200" width="15.85546875" style="29" bestFit="1" customWidth="1"/>
    <col min="8201" max="8201" width="17.28515625" style="29" bestFit="1" customWidth="1"/>
    <col min="8202" max="8202" width="18.28515625" style="29" bestFit="1" customWidth="1"/>
    <col min="8203" max="8203" width="19.5703125" style="29" bestFit="1" customWidth="1"/>
    <col min="8204" max="8446" width="8.7109375" style="29"/>
    <col min="8447" max="8447" width="15.140625" style="29" customWidth="1"/>
    <col min="8448" max="8448" width="15.140625" style="29" bestFit="1" customWidth="1"/>
    <col min="8449" max="8450" width="18.5703125" style="29" bestFit="1" customWidth="1"/>
    <col min="8451" max="8451" width="16.42578125" style="29" bestFit="1" customWidth="1"/>
    <col min="8452" max="8452" width="13.5703125" style="29" bestFit="1" customWidth="1"/>
    <col min="8453" max="8453" width="17.5703125" style="29" bestFit="1" customWidth="1"/>
    <col min="8454" max="8454" width="17.28515625" style="29" bestFit="1" customWidth="1"/>
    <col min="8455" max="8455" width="22.5703125" style="29" bestFit="1" customWidth="1"/>
    <col min="8456" max="8456" width="15.85546875" style="29" bestFit="1" customWidth="1"/>
    <col min="8457" max="8457" width="17.28515625" style="29" bestFit="1" customWidth="1"/>
    <col min="8458" max="8458" width="18.28515625" style="29" bestFit="1" customWidth="1"/>
    <col min="8459" max="8459" width="19.5703125" style="29" bestFit="1" customWidth="1"/>
    <col min="8460" max="8702" width="8.7109375" style="29"/>
    <col min="8703" max="8703" width="15.140625" style="29" customWidth="1"/>
    <col min="8704" max="8704" width="15.140625" style="29" bestFit="1" customWidth="1"/>
    <col min="8705" max="8706" width="18.5703125" style="29" bestFit="1" customWidth="1"/>
    <col min="8707" max="8707" width="16.42578125" style="29" bestFit="1" customWidth="1"/>
    <col min="8708" max="8708" width="13.5703125" style="29" bestFit="1" customWidth="1"/>
    <col min="8709" max="8709" width="17.5703125" style="29" bestFit="1" customWidth="1"/>
    <col min="8710" max="8710" width="17.28515625" style="29" bestFit="1" customWidth="1"/>
    <col min="8711" max="8711" width="22.5703125" style="29" bestFit="1" customWidth="1"/>
    <col min="8712" max="8712" width="15.85546875" style="29" bestFit="1" customWidth="1"/>
    <col min="8713" max="8713" width="17.28515625" style="29" bestFit="1" customWidth="1"/>
    <col min="8714" max="8714" width="18.28515625" style="29" bestFit="1" customWidth="1"/>
    <col min="8715" max="8715" width="19.5703125" style="29" bestFit="1" customWidth="1"/>
    <col min="8716" max="8958" width="8.7109375" style="29"/>
    <col min="8959" max="8959" width="15.140625" style="29" customWidth="1"/>
    <col min="8960" max="8960" width="15.140625" style="29" bestFit="1" customWidth="1"/>
    <col min="8961" max="8962" width="18.5703125" style="29" bestFit="1" customWidth="1"/>
    <col min="8963" max="8963" width="16.42578125" style="29" bestFit="1" customWidth="1"/>
    <col min="8964" max="8964" width="13.5703125" style="29" bestFit="1" customWidth="1"/>
    <col min="8965" max="8965" width="17.5703125" style="29" bestFit="1" customWidth="1"/>
    <col min="8966" max="8966" width="17.28515625" style="29" bestFit="1" customWidth="1"/>
    <col min="8967" max="8967" width="22.5703125" style="29" bestFit="1" customWidth="1"/>
    <col min="8968" max="8968" width="15.85546875" style="29" bestFit="1" customWidth="1"/>
    <col min="8969" max="8969" width="17.28515625" style="29" bestFit="1" customWidth="1"/>
    <col min="8970" max="8970" width="18.28515625" style="29" bestFit="1" customWidth="1"/>
    <col min="8971" max="8971" width="19.5703125" style="29" bestFit="1" customWidth="1"/>
    <col min="8972" max="9214" width="8.7109375" style="29"/>
    <col min="9215" max="9215" width="15.140625" style="29" customWidth="1"/>
    <col min="9216" max="9216" width="15.140625" style="29" bestFit="1" customWidth="1"/>
    <col min="9217" max="9218" width="18.5703125" style="29" bestFit="1" customWidth="1"/>
    <col min="9219" max="9219" width="16.42578125" style="29" bestFit="1" customWidth="1"/>
    <col min="9220" max="9220" width="13.5703125" style="29" bestFit="1" customWidth="1"/>
    <col min="9221" max="9221" width="17.5703125" style="29" bestFit="1" customWidth="1"/>
    <col min="9222" max="9222" width="17.28515625" style="29" bestFit="1" customWidth="1"/>
    <col min="9223" max="9223" width="22.5703125" style="29" bestFit="1" customWidth="1"/>
    <col min="9224" max="9224" width="15.85546875" style="29" bestFit="1" customWidth="1"/>
    <col min="9225" max="9225" width="17.28515625" style="29" bestFit="1" customWidth="1"/>
    <col min="9226" max="9226" width="18.28515625" style="29" bestFit="1" customWidth="1"/>
    <col min="9227" max="9227" width="19.5703125" style="29" bestFit="1" customWidth="1"/>
    <col min="9228" max="9470" width="8.7109375" style="29"/>
    <col min="9471" max="9471" width="15.140625" style="29" customWidth="1"/>
    <col min="9472" max="9472" width="15.140625" style="29" bestFit="1" customWidth="1"/>
    <col min="9473" max="9474" width="18.5703125" style="29" bestFit="1" customWidth="1"/>
    <col min="9475" max="9475" width="16.42578125" style="29" bestFit="1" customWidth="1"/>
    <col min="9476" max="9476" width="13.5703125" style="29" bestFit="1" customWidth="1"/>
    <col min="9477" max="9477" width="17.5703125" style="29" bestFit="1" customWidth="1"/>
    <col min="9478" max="9478" width="17.28515625" style="29" bestFit="1" customWidth="1"/>
    <col min="9479" max="9479" width="22.5703125" style="29" bestFit="1" customWidth="1"/>
    <col min="9480" max="9480" width="15.85546875" style="29" bestFit="1" customWidth="1"/>
    <col min="9481" max="9481" width="17.28515625" style="29" bestFit="1" customWidth="1"/>
    <col min="9482" max="9482" width="18.28515625" style="29" bestFit="1" customWidth="1"/>
    <col min="9483" max="9483" width="19.5703125" style="29" bestFit="1" customWidth="1"/>
    <col min="9484" max="9726" width="8.7109375" style="29"/>
    <col min="9727" max="9727" width="15.140625" style="29" customWidth="1"/>
    <col min="9728" max="9728" width="15.140625" style="29" bestFit="1" customWidth="1"/>
    <col min="9729" max="9730" width="18.5703125" style="29" bestFit="1" customWidth="1"/>
    <col min="9731" max="9731" width="16.42578125" style="29" bestFit="1" customWidth="1"/>
    <col min="9732" max="9732" width="13.5703125" style="29" bestFit="1" customWidth="1"/>
    <col min="9733" max="9733" width="17.5703125" style="29" bestFit="1" customWidth="1"/>
    <col min="9734" max="9734" width="17.28515625" style="29" bestFit="1" customWidth="1"/>
    <col min="9735" max="9735" width="22.5703125" style="29" bestFit="1" customWidth="1"/>
    <col min="9736" max="9736" width="15.85546875" style="29" bestFit="1" customWidth="1"/>
    <col min="9737" max="9737" width="17.28515625" style="29" bestFit="1" customWidth="1"/>
    <col min="9738" max="9738" width="18.28515625" style="29" bestFit="1" customWidth="1"/>
    <col min="9739" max="9739" width="19.5703125" style="29" bestFit="1" customWidth="1"/>
    <col min="9740" max="9982" width="8.7109375" style="29"/>
    <col min="9983" max="9983" width="15.140625" style="29" customWidth="1"/>
    <col min="9984" max="9984" width="15.140625" style="29" bestFit="1" customWidth="1"/>
    <col min="9985" max="9986" width="18.5703125" style="29" bestFit="1" customWidth="1"/>
    <col min="9987" max="9987" width="16.42578125" style="29" bestFit="1" customWidth="1"/>
    <col min="9988" max="9988" width="13.5703125" style="29" bestFit="1" customWidth="1"/>
    <col min="9989" max="9989" width="17.5703125" style="29" bestFit="1" customWidth="1"/>
    <col min="9990" max="9990" width="17.28515625" style="29" bestFit="1" customWidth="1"/>
    <col min="9991" max="9991" width="22.5703125" style="29" bestFit="1" customWidth="1"/>
    <col min="9992" max="9992" width="15.85546875" style="29" bestFit="1" customWidth="1"/>
    <col min="9993" max="9993" width="17.28515625" style="29" bestFit="1" customWidth="1"/>
    <col min="9994" max="9994" width="18.28515625" style="29" bestFit="1" customWidth="1"/>
    <col min="9995" max="9995" width="19.5703125" style="29" bestFit="1" customWidth="1"/>
    <col min="9996" max="10238" width="8.7109375" style="29"/>
    <col min="10239" max="10239" width="15.140625" style="29" customWidth="1"/>
    <col min="10240" max="10240" width="15.140625" style="29" bestFit="1" customWidth="1"/>
    <col min="10241" max="10242" width="18.5703125" style="29" bestFit="1" customWidth="1"/>
    <col min="10243" max="10243" width="16.42578125" style="29" bestFit="1" customWidth="1"/>
    <col min="10244" max="10244" width="13.5703125" style="29" bestFit="1" customWidth="1"/>
    <col min="10245" max="10245" width="17.5703125" style="29" bestFit="1" customWidth="1"/>
    <col min="10246" max="10246" width="17.28515625" style="29" bestFit="1" customWidth="1"/>
    <col min="10247" max="10247" width="22.5703125" style="29" bestFit="1" customWidth="1"/>
    <col min="10248" max="10248" width="15.85546875" style="29" bestFit="1" customWidth="1"/>
    <col min="10249" max="10249" width="17.28515625" style="29" bestFit="1" customWidth="1"/>
    <col min="10250" max="10250" width="18.28515625" style="29" bestFit="1" customWidth="1"/>
    <col min="10251" max="10251" width="19.5703125" style="29" bestFit="1" customWidth="1"/>
    <col min="10252" max="10494" width="8.7109375" style="29"/>
    <col min="10495" max="10495" width="15.140625" style="29" customWidth="1"/>
    <col min="10496" max="10496" width="15.140625" style="29" bestFit="1" customWidth="1"/>
    <col min="10497" max="10498" width="18.5703125" style="29" bestFit="1" customWidth="1"/>
    <col min="10499" max="10499" width="16.42578125" style="29" bestFit="1" customWidth="1"/>
    <col min="10500" max="10500" width="13.5703125" style="29" bestFit="1" customWidth="1"/>
    <col min="10501" max="10501" width="17.5703125" style="29" bestFit="1" customWidth="1"/>
    <col min="10502" max="10502" width="17.28515625" style="29" bestFit="1" customWidth="1"/>
    <col min="10503" max="10503" width="22.5703125" style="29" bestFit="1" customWidth="1"/>
    <col min="10504" max="10504" width="15.85546875" style="29" bestFit="1" customWidth="1"/>
    <col min="10505" max="10505" width="17.28515625" style="29" bestFit="1" customWidth="1"/>
    <col min="10506" max="10506" width="18.28515625" style="29" bestFit="1" customWidth="1"/>
    <col min="10507" max="10507" width="19.5703125" style="29" bestFit="1" customWidth="1"/>
    <col min="10508" max="10750" width="8.7109375" style="29"/>
    <col min="10751" max="10751" width="15.140625" style="29" customWidth="1"/>
    <col min="10752" max="10752" width="15.140625" style="29" bestFit="1" customWidth="1"/>
    <col min="10753" max="10754" width="18.5703125" style="29" bestFit="1" customWidth="1"/>
    <col min="10755" max="10755" width="16.42578125" style="29" bestFit="1" customWidth="1"/>
    <col min="10756" max="10756" width="13.5703125" style="29" bestFit="1" customWidth="1"/>
    <col min="10757" max="10757" width="17.5703125" style="29" bestFit="1" customWidth="1"/>
    <col min="10758" max="10758" width="17.28515625" style="29" bestFit="1" customWidth="1"/>
    <col min="10759" max="10759" width="22.5703125" style="29" bestFit="1" customWidth="1"/>
    <col min="10760" max="10760" width="15.85546875" style="29" bestFit="1" customWidth="1"/>
    <col min="10761" max="10761" width="17.28515625" style="29" bestFit="1" customWidth="1"/>
    <col min="10762" max="10762" width="18.28515625" style="29" bestFit="1" customWidth="1"/>
    <col min="10763" max="10763" width="19.5703125" style="29" bestFit="1" customWidth="1"/>
    <col min="10764" max="11006" width="8.7109375" style="29"/>
    <col min="11007" max="11007" width="15.140625" style="29" customWidth="1"/>
    <col min="11008" max="11008" width="15.140625" style="29" bestFit="1" customWidth="1"/>
    <col min="11009" max="11010" width="18.5703125" style="29" bestFit="1" customWidth="1"/>
    <col min="11011" max="11011" width="16.42578125" style="29" bestFit="1" customWidth="1"/>
    <col min="11012" max="11012" width="13.5703125" style="29" bestFit="1" customWidth="1"/>
    <col min="11013" max="11013" width="17.5703125" style="29" bestFit="1" customWidth="1"/>
    <col min="11014" max="11014" width="17.28515625" style="29" bestFit="1" customWidth="1"/>
    <col min="11015" max="11015" width="22.5703125" style="29" bestFit="1" customWidth="1"/>
    <col min="11016" max="11016" width="15.85546875" style="29" bestFit="1" customWidth="1"/>
    <col min="11017" max="11017" width="17.28515625" style="29" bestFit="1" customWidth="1"/>
    <col min="11018" max="11018" width="18.28515625" style="29" bestFit="1" customWidth="1"/>
    <col min="11019" max="11019" width="19.5703125" style="29" bestFit="1" customWidth="1"/>
    <col min="11020" max="11262" width="8.7109375" style="29"/>
    <col min="11263" max="11263" width="15.140625" style="29" customWidth="1"/>
    <col min="11264" max="11264" width="15.140625" style="29" bestFit="1" customWidth="1"/>
    <col min="11265" max="11266" width="18.5703125" style="29" bestFit="1" customWidth="1"/>
    <col min="11267" max="11267" width="16.42578125" style="29" bestFit="1" customWidth="1"/>
    <col min="11268" max="11268" width="13.5703125" style="29" bestFit="1" customWidth="1"/>
    <col min="11269" max="11269" width="17.5703125" style="29" bestFit="1" customWidth="1"/>
    <col min="11270" max="11270" width="17.28515625" style="29" bestFit="1" customWidth="1"/>
    <col min="11271" max="11271" width="22.5703125" style="29" bestFit="1" customWidth="1"/>
    <col min="11272" max="11272" width="15.85546875" style="29" bestFit="1" customWidth="1"/>
    <col min="11273" max="11273" width="17.28515625" style="29" bestFit="1" customWidth="1"/>
    <col min="11274" max="11274" width="18.28515625" style="29" bestFit="1" customWidth="1"/>
    <col min="11275" max="11275" width="19.5703125" style="29" bestFit="1" customWidth="1"/>
    <col min="11276" max="11518" width="8.7109375" style="29"/>
    <col min="11519" max="11519" width="15.140625" style="29" customWidth="1"/>
    <col min="11520" max="11520" width="15.140625" style="29" bestFit="1" customWidth="1"/>
    <col min="11521" max="11522" width="18.5703125" style="29" bestFit="1" customWidth="1"/>
    <col min="11523" max="11523" width="16.42578125" style="29" bestFit="1" customWidth="1"/>
    <col min="11524" max="11524" width="13.5703125" style="29" bestFit="1" customWidth="1"/>
    <col min="11525" max="11525" width="17.5703125" style="29" bestFit="1" customWidth="1"/>
    <col min="11526" max="11526" width="17.28515625" style="29" bestFit="1" customWidth="1"/>
    <col min="11527" max="11527" width="22.5703125" style="29" bestFit="1" customWidth="1"/>
    <col min="11528" max="11528" width="15.85546875" style="29" bestFit="1" customWidth="1"/>
    <col min="11529" max="11529" width="17.28515625" style="29" bestFit="1" customWidth="1"/>
    <col min="11530" max="11530" width="18.28515625" style="29" bestFit="1" customWidth="1"/>
    <col min="11531" max="11531" width="19.5703125" style="29" bestFit="1" customWidth="1"/>
    <col min="11532" max="11774" width="8.7109375" style="29"/>
    <col min="11775" max="11775" width="15.140625" style="29" customWidth="1"/>
    <col min="11776" max="11776" width="15.140625" style="29" bestFit="1" customWidth="1"/>
    <col min="11777" max="11778" width="18.5703125" style="29" bestFit="1" customWidth="1"/>
    <col min="11779" max="11779" width="16.42578125" style="29" bestFit="1" customWidth="1"/>
    <col min="11780" max="11780" width="13.5703125" style="29" bestFit="1" customWidth="1"/>
    <col min="11781" max="11781" width="17.5703125" style="29" bestFit="1" customWidth="1"/>
    <col min="11782" max="11782" width="17.28515625" style="29" bestFit="1" customWidth="1"/>
    <col min="11783" max="11783" width="22.5703125" style="29" bestFit="1" customWidth="1"/>
    <col min="11784" max="11784" width="15.85546875" style="29" bestFit="1" customWidth="1"/>
    <col min="11785" max="11785" width="17.28515625" style="29" bestFit="1" customWidth="1"/>
    <col min="11786" max="11786" width="18.28515625" style="29" bestFit="1" customWidth="1"/>
    <col min="11787" max="11787" width="19.5703125" style="29" bestFit="1" customWidth="1"/>
    <col min="11788" max="12030" width="8.7109375" style="29"/>
    <col min="12031" max="12031" width="15.140625" style="29" customWidth="1"/>
    <col min="12032" max="12032" width="15.140625" style="29" bestFit="1" customWidth="1"/>
    <col min="12033" max="12034" width="18.5703125" style="29" bestFit="1" customWidth="1"/>
    <col min="12035" max="12035" width="16.42578125" style="29" bestFit="1" customWidth="1"/>
    <col min="12036" max="12036" width="13.5703125" style="29" bestFit="1" customWidth="1"/>
    <col min="12037" max="12037" width="17.5703125" style="29" bestFit="1" customWidth="1"/>
    <col min="12038" max="12038" width="17.28515625" style="29" bestFit="1" customWidth="1"/>
    <col min="12039" max="12039" width="22.5703125" style="29" bestFit="1" customWidth="1"/>
    <col min="12040" max="12040" width="15.85546875" style="29" bestFit="1" customWidth="1"/>
    <col min="12041" max="12041" width="17.28515625" style="29" bestFit="1" customWidth="1"/>
    <col min="12042" max="12042" width="18.28515625" style="29" bestFit="1" customWidth="1"/>
    <col min="12043" max="12043" width="19.5703125" style="29" bestFit="1" customWidth="1"/>
    <col min="12044" max="12286" width="8.7109375" style="29"/>
    <col min="12287" max="12287" width="15.140625" style="29" customWidth="1"/>
    <col min="12288" max="12288" width="15.140625" style="29" bestFit="1" customWidth="1"/>
    <col min="12289" max="12290" width="18.5703125" style="29" bestFit="1" customWidth="1"/>
    <col min="12291" max="12291" width="16.42578125" style="29" bestFit="1" customWidth="1"/>
    <col min="12292" max="12292" width="13.5703125" style="29" bestFit="1" customWidth="1"/>
    <col min="12293" max="12293" width="17.5703125" style="29" bestFit="1" customWidth="1"/>
    <col min="12294" max="12294" width="17.28515625" style="29" bestFit="1" customWidth="1"/>
    <col min="12295" max="12295" width="22.5703125" style="29" bestFit="1" customWidth="1"/>
    <col min="12296" max="12296" width="15.85546875" style="29" bestFit="1" customWidth="1"/>
    <col min="12297" max="12297" width="17.28515625" style="29" bestFit="1" customWidth="1"/>
    <col min="12298" max="12298" width="18.28515625" style="29" bestFit="1" customWidth="1"/>
    <col min="12299" max="12299" width="19.5703125" style="29" bestFit="1" customWidth="1"/>
    <col min="12300" max="12542" width="8.7109375" style="29"/>
    <col min="12543" max="12543" width="15.140625" style="29" customWidth="1"/>
    <col min="12544" max="12544" width="15.140625" style="29" bestFit="1" customWidth="1"/>
    <col min="12545" max="12546" width="18.5703125" style="29" bestFit="1" customWidth="1"/>
    <col min="12547" max="12547" width="16.42578125" style="29" bestFit="1" customWidth="1"/>
    <col min="12548" max="12548" width="13.5703125" style="29" bestFit="1" customWidth="1"/>
    <col min="12549" max="12549" width="17.5703125" style="29" bestFit="1" customWidth="1"/>
    <col min="12550" max="12550" width="17.28515625" style="29" bestFit="1" customWidth="1"/>
    <col min="12551" max="12551" width="22.5703125" style="29" bestFit="1" customWidth="1"/>
    <col min="12552" max="12552" width="15.85546875" style="29" bestFit="1" customWidth="1"/>
    <col min="12553" max="12553" width="17.28515625" style="29" bestFit="1" customWidth="1"/>
    <col min="12554" max="12554" width="18.28515625" style="29" bestFit="1" customWidth="1"/>
    <col min="12555" max="12555" width="19.5703125" style="29" bestFit="1" customWidth="1"/>
    <col min="12556" max="12798" width="8.7109375" style="29"/>
    <col min="12799" max="12799" width="15.140625" style="29" customWidth="1"/>
    <col min="12800" max="12800" width="15.140625" style="29" bestFit="1" customWidth="1"/>
    <col min="12801" max="12802" width="18.5703125" style="29" bestFit="1" customWidth="1"/>
    <col min="12803" max="12803" width="16.42578125" style="29" bestFit="1" customWidth="1"/>
    <col min="12804" max="12804" width="13.5703125" style="29" bestFit="1" customWidth="1"/>
    <col min="12805" max="12805" width="17.5703125" style="29" bestFit="1" customWidth="1"/>
    <col min="12806" max="12806" width="17.28515625" style="29" bestFit="1" customWidth="1"/>
    <col min="12807" max="12807" width="22.5703125" style="29" bestFit="1" customWidth="1"/>
    <col min="12808" max="12808" width="15.85546875" style="29" bestFit="1" customWidth="1"/>
    <col min="12809" max="12809" width="17.28515625" style="29" bestFit="1" customWidth="1"/>
    <col min="12810" max="12810" width="18.28515625" style="29" bestFit="1" customWidth="1"/>
    <col min="12811" max="12811" width="19.5703125" style="29" bestFit="1" customWidth="1"/>
    <col min="12812" max="13054" width="8.7109375" style="29"/>
    <col min="13055" max="13055" width="15.140625" style="29" customWidth="1"/>
    <col min="13056" max="13056" width="15.140625" style="29" bestFit="1" customWidth="1"/>
    <col min="13057" max="13058" width="18.5703125" style="29" bestFit="1" customWidth="1"/>
    <col min="13059" max="13059" width="16.42578125" style="29" bestFit="1" customWidth="1"/>
    <col min="13060" max="13060" width="13.5703125" style="29" bestFit="1" customWidth="1"/>
    <col min="13061" max="13061" width="17.5703125" style="29" bestFit="1" customWidth="1"/>
    <col min="13062" max="13062" width="17.28515625" style="29" bestFit="1" customWidth="1"/>
    <col min="13063" max="13063" width="22.5703125" style="29" bestFit="1" customWidth="1"/>
    <col min="13064" max="13064" width="15.85546875" style="29" bestFit="1" customWidth="1"/>
    <col min="13065" max="13065" width="17.28515625" style="29" bestFit="1" customWidth="1"/>
    <col min="13066" max="13066" width="18.28515625" style="29" bestFit="1" customWidth="1"/>
    <col min="13067" max="13067" width="19.5703125" style="29" bestFit="1" customWidth="1"/>
    <col min="13068" max="13310" width="8.7109375" style="29"/>
    <col min="13311" max="13311" width="15.140625" style="29" customWidth="1"/>
    <col min="13312" max="13312" width="15.140625" style="29" bestFit="1" customWidth="1"/>
    <col min="13313" max="13314" width="18.5703125" style="29" bestFit="1" customWidth="1"/>
    <col min="13315" max="13315" width="16.42578125" style="29" bestFit="1" customWidth="1"/>
    <col min="13316" max="13316" width="13.5703125" style="29" bestFit="1" customWidth="1"/>
    <col min="13317" max="13317" width="17.5703125" style="29" bestFit="1" customWidth="1"/>
    <col min="13318" max="13318" width="17.28515625" style="29" bestFit="1" customWidth="1"/>
    <col min="13319" max="13319" width="22.5703125" style="29" bestFit="1" customWidth="1"/>
    <col min="13320" max="13320" width="15.85546875" style="29" bestFit="1" customWidth="1"/>
    <col min="13321" max="13321" width="17.28515625" style="29" bestFit="1" customWidth="1"/>
    <col min="13322" max="13322" width="18.28515625" style="29" bestFit="1" customWidth="1"/>
    <col min="13323" max="13323" width="19.5703125" style="29" bestFit="1" customWidth="1"/>
    <col min="13324" max="13566" width="8.7109375" style="29"/>
    <col min="13567" max="13567" width="15.140625" style="29" customWidth="1"/>
    <col min="13568" max="13568" width="15.140625" style="29" bestFit="1" customWidth="1"/>
    <col min="13569" max="13570" width="18.5703125" style="29" bestFit="1" customWidth="1"/>
    <col min="13571" max="13571" width="16.42578125" style="29" bestFit="1" customWidth="1"/>
    <col min="13572" max="13572" width="13.5703125" style="29" bestFit="1" customWidth="1"/>
    <col min="13573" max="13573" width="17.5703125" style="29" bestFit="1" customWidth="1"/>
    <col min="13574" max="13574" width="17.28515625" style="29" bestFit="1" customWidth="1"/>
    <col min="13575" max="13575" width="22.5703125" style="29" bestFit="1" customWidth="1"/>
    <col min="13576" max="13576" width="15.85546875" style="29" bestFit="1" customWidth="1"/>
    <col min="13577" max="13577" width="17.28515625" style="29" bestFit="1" customWidth="1"/>
    <col min="13578" max="13578" width="18.28515625" style="29" bestFit="1" customWidth="1"/>
    <col min="13579" max="13579" width="19.5703125" style="29" bestFit="1" customWidth="1"/>
    <col min="13580" max="13822" width="8.7109375" style="29"/>
    <col min="13823" max="13823" width="15.140625" style="29" customWidth="1"/>
    <col min="13824" max="13824" width="15.140625" style="29" bestFit="1" customWidth="1"/>
    <col min="13825" max="13826" width="18.5703125" style="29" bestFit="1" customWidth="1"/>
    <col min="13827" max="13827" width="16.42578125" style="29" bestFit="1" customWidth="1"/>
    <col min="13828" max="13828" width="13.5703125" style="29" bestFit="1" customWidth="1"/>
    <col min="13829" max="13829" width="17.5703125" style="29" bestFit="1" customWidth="1"/>
    <col min="13830" max="13830" width="17.28515625" style="29" bestFit="1" customWidth="1"/>
    <col min="13831" max="13831" width="22.5703125" style="29" bestFit="1" customWidth="1"/>
    <col min="13832" max="13832" width="15.85546875" style="29" bestFit="1" customWidth="1"/>
    <col min="13833" max="13833" width="17.28515625" style="29" bestFit="1" customWidth="1"/>
    <col min="13834" max="13834" width="18.28515625" style="29" bestFit="1" customWidth="1"/>
    <col min="13835" max="13835" width="19.5703125" style="29" bestFit="1" customWidth="1"/>
    <col min="13836" max="14078" width="8.7109375" style="29"/>
    <col min="14079" max="14079" width="15.140625" style="29" customWidth="1"/>
    <col min="14080" max="14080" width="15.140625" style="29" bestFit="1" customWidth="1"/>
    <col min="14081" max="14082" width="18.5703125" style="29" bestFit="1" customWidth="1"/>
    <col min="14083" max="14083" width="16.42578125" style="29" bestFit="1" customWidth="1"/>
    <col min="14084" max="14084" width="13.5703125" style="29" bestFit="1" customWidth="1"/>
    <col min="14085" max="14085" width="17.5703125" style="29" bestFit="1" customWidth="1"/>
    <col min="14086" max="14086" width="17.28515625" style="29" bestFit="1" customWidth="1"/>
    <col min="14087" max="14087" width="22.5703125" style="29" bestFit="1" customWidth="1"/>
    <col min="14088" max="14088" width="15.85546875" style="29" bestFit="1" customWidth="1"/>
    <col min="14089" max="14089" width="17.28515625" style="29" bestFit="1" customWidth="1"/>
    <col min="14090" max="14090" width="18.28515625" style="29" bestFit="1" customWidth="1"/>
    <col min="14091" max="14091" width="19.5703125" style="29" bestFit="1" customWidth="1"/>
    <col min="14092" max="14334" width="8.7109375" style="29"/>
    <col min="14335" max="14335" width="15.140625" style="29" customWidth="1"/>
    <col min="14336" max="14336" width="15.140625" style="29" bestFit="1" customWidth="1"/>
    <col min="14337" max="14338" width="18.5703125" style="29" bestFit="1" customWidth="1"/>
    <col min="14339" max="14339" width="16.42578125" style="29" bestFit="1" customWidth="1"/>
    <col min="14340" max="14340" width="13.5703125" style="29" bestFit="1" customWidth="1"/>
    <col min="14341" max="14341" width="17.5703125" style="29" bestFit="1" customWidth="1"/>
    <col min="14342" max="14342" width="17.28515625" style="29" bestFit="1" customWidth="1"/>
    <col min="14343" max="14343" width="22.5703125" style="29" bestFit="1" customWidth="1"/>
    <col min="14344" max="14344" width="15.85546875" style="29" bestFit="1" customWidth="1"/>
    <col min="14345" max="14345" width="17.28515625" style="29" bestFit="1" customWidth="1"/>
    <col min="14346" max="14346" width="18.28515625" style="29" bestFit="1" customWidth="1"/>
    <col min="14347" max="14347" width="19.5703125" style="29" bestFit="1" customWidth="1"/>
    <col min="14348" max="14590" width="8.7109375" style="29"/>
    <col min="14591" max="14591" width="15.140625" style="29" customWidth="1"/>
    <col min="14592" max="14592" width="15.140625" style="29" bestFit="1" customWidth="1"/>
    <col min="14593" max="14594" width="18.5703125" style="29" bestFit="1" customWidth="1"/>
    <col min="14595" max="14595" width="16.42578125" style="29" bestFit="1" customWidth="1"/>
    <col min="14596" max="14596" width="13.5703125" style="29" bestFit="1" customWidth="1"/>
    <col min="14597" max="14597" width="17.5703125" style="29" bestFit="1" customWidth="1"/>
    <col min="14598" max="14598" width="17.28515625" style="29" bestFit="1" customWidth="1"/>
    <col min="14599" max="14599" width="22.5703125" style="29" bestFit="1" customWidth="1"/>
    <col min="14600" max="14600" width="15.85546875" style="29" bestFit="1" customWidth="1"/>
    <col min="14601" max="14601" width="17.28515625" style="29" bestFit="1" customWidth="1"/>
    <col min="14602" max="14602" width="18.28515625" style="29" bestFit="1" customWidth="1"/>
    <col min="14603" max="14603" width="19.5703125" style="29" bestFit="1" customWidth="1"/>
    <col min="14604" max="14846" width="8.7109375" style="29"/>
    <col min="14847" max="14847" width="15.140625" style="29" customWidth="1"/>
    <col min="14848" max="14848" width="15.140625" style="29" bestFit="1" customWidth="1"/>
    <col min="14849" max="14850" width="18.5703125" style="29" bestFit="1" customWidth="1"/>
    <col min="14851" max="14851" width="16.42578125" style="29" bestFit="1" customWidth="1"/>
    <col min="14852" max="14852" width="13.5703125" style="29" bestFit="1" customWidth="1"/>
    <col min="14853" max="14853" width="17.5703125" style="29" bestFit="1" customWidth="1"/>
    <col min="14854" max="14854" width="17.28515625" style="29" bestFit="1" customWidth="1"/>
    <col min="14855" max="14855" width="22.5703125" style="29" bestFit="1" customWidth="1"/>
    <col min="14856" max="14856" width="15.85546875" style="29" bestFit="1" customWidth="1"/>
    <col min="14857" max="14857" width="17.28515625" style="29" bestFit="1" customWidth="1"/>
    <col min="14858" max="14858" width="18.28515625" style="29" bestFit="1" customWidth="1"/>
    <col min="14859" max="14859" width="19.5703125" style="29" bestFit="1" customWidth="1"/>
    <col min="14860" max="15102" width="8.7109375" style="29"/>
    <col min="15103" max="15103" width="15.140625" style="29" customWidth="1"/>
    <col min="15104" max="15104" width="15.140625" style="29" bestFit="1" customWidth="1"/>
    <col min="15105" max="15106" width="18.5703125" style="29" bestFit="1" customWidth="1"/>
    <col min="15107" max="15107" width="16.42578125" style="29" bestFit="1" customWidth="1"/>
    <col min="15108" max="15108" width="13.5703125" style="29" bestFit="1" customWidth="1"/>
    <col min="15109" max="15109" width="17.5703125" style="29" bestFit="1" customWidth="1"/>
    <col min="15110" max="15110" width="17.28515625" style="29" bestFit="1" customWidth="1"/>
    <col min="15111" max="15111" width="22.5703125" style="29" bestFit="1" customWidth="1"/>
    <col min="15112" max="15112" width="15.85546875" style="29" bestFit="1" customWidth="1"/>
    <col min="15113" max="15113" width="17.28515625" style="29" bestFit="1" customWidth="1"/>
    <col min="15114" max="15114" width="18.28515625" style="29" bestFit="1" customWidth="1"/>
    <col min="15115" max="15115" width="19.5703125" style="29" bestFit="1" customWidth="1"/>
    <col min="15116" max="15358" width="8.7109375" style="29"/>
    <col min="15359" max="15359" width="15.140625" style="29" customWidth="1"/>
    <col min="15360" max="15360" width="15.140625" style="29" bestFit="1" customWidth="1"/>
    <col min="15361" max="15362" width="18.5703125" style="29" bestFit="1" customWidth="1"/>
    <col min="15363" max="15363" width="16.42578125" style="29" bestFit="1" customWidth="1"/>
    <col min="15364" max="15364" width="13.5703125" style="29" bestFit="1" customWidth="1"/>
    <col min="15365" max="15365" width="17.5703125" style="29" bestFit="1" customWidth="1"/>
    <col min="15366" max="15366" width="17.28515625" style="29" bestFit="1" customWidth="1"/>
    <col min="15367" max="15367" width="22.5703125" style="29" bestFit="1" customWidth="1"/>
    <col min="15368" max="15368" width="15.85546875" style="29" bestFit="1" customWidth="1"/>
    <col min="15369" max="15369" width="17.28515625" style="29" bestFit="1" customWidth="1"/>
    <col min="15370" max="15370" width="18.28515625" style="29" bestFit="1" customWidth="1"/>
    <col min="15371" max="15371" width="19.5703125" style="29" bestFit="1" customWidth="1"/>
    <col min="15372" max="15614" width="8.7109375" style="29"/>
    <col min="15615" max="15615" width="15.140625" style="29" customWidth="1"/>
    <col min="15616" max="15616" width="15.140625" style="29" bestFit="1" customWidth="1"/>
    <col min="15617" max="15618" width="18.5703125" style="29" bestFit="1" customWidth="1"/>
    <col min="15619" max="15619" width="16.42578125" style="29" bestFit="1" customWidth="1"/>
    <col min="15620" max="15620" width="13.5703125" style="29" bestFit="1" customWidth="1"/>
    <col min="15621" max="15621" width="17.5703125" style="29" bestFit="1" customWidth="1"/>
    <col min="15622" max="15622" width="17.28515625" style="29" bestFit="1" customWidth="1"/>
    <col min="15623" max="15623" width="22.5703125" style="29" bestFit="1" customWidth="1"/>
    <col min="15624" max="15624" width="15.85546875" style="29" bestFit="1" customWidth="1"/>
    <col min="15625" max="15625" width="17.28515625" style="29" bestFit="1" customWidth="1"/>
    <col min="15626" max="15626" width="18.28515625" style="29" bestFit="1" customWidth="1"/>
    <col min="15627" max="15627" width="19.5703125" style="29" bestFit="1" customWidth="1"/>
    <col min="15628" max="15870" width="8.7109375" style="29"/>
    <col min="15871" max="15871" width="15.140625" style="29" customWidth="1"/>
    <col min="15872" max="15872" width="15.140625" style="29" bestFit="1" customWidth="1"/>
    <col min="15873" max="15874" width="18.5703125" style="29" bestFit="1" customWidth="1"/>
    <col min="15875" max="15875" width="16.42578125" style="29" bestFit="1" customWidth="1"/>
    <col min="15876" max="15876" width="13.5703125" style="29" bestFit="1" customWidth="1"/>
    <col min="15877" max="15877" width="17.5703125" style="29" bestFit="1" customWidth="1"/>
    <col min="15878" max="15878" width="17.28515625" style="29" bestFit="1" customWidth="1"/>
    <col min="15879" max="15879" width="22.5703125" style="29" bestFit="1" customWidth="1"/>
    <col min="15880" max="15880" width="15.85546875" style="29" bestFit="1" customWidth="1"/>
    <col min="15881" max="15881" width="17.28515625" style="29" bestFit="1" customWidth="1"/>
    <col min="15882" max="15882" width="18.28515625" style="29" bestFit="1" customWidth="1"/>
    <col min="15883" max="15883" width="19.5703125" style="29" bestFit="1" customWidth="1"/>
    <col min="15884" max="16126" width="8.7109375" style="29"/>
    <col min="16127" max="16127" width="15.140625" style="29" customWidth="1"/>
    <col min="16128" max="16128" width="15.140625" style="29" bestFit="1" customWidth="1"/>
    <col min="16129" max="16130" width="18.5703125" style="29" bestFit="1" customWidth="1"/>
    <col min="16131" max="16131" width="16.42578125" style="29" bestFit="1" customWidth="1"/>
    <col min="16132" max="16132" width="13.5703125" style="29" bestFit="1" customWidth="1"/>
    <col min="16133" max="16133" width="17.5703125" style="29" bestFit="1" customWidth="1"/>
    <col min="16134" max="16134" width="17.28515625" style="29" bestFit="1" customWidth="1"/>
    <col min="16135" max="16135" width="22.5703125" style="29" bestFit="1" customWidth="1"/>
    <col min="16136" max="16136" width="15.85546875" style="29" bestFit="1" customWidth="1"/>
    <col min="16137" max="16137" width="17.28515625" style="29" bestFit="1" customWidth="1"/>
    <col min="16138" max="16138" width="18.28515625" style="29" bestFit="1" customWidth="1"/>
    <col min="16139" max="16139" width="19.5703125" style="29" bestFit="1" customWidth="1"/>
    <col min="16140" max="16384" width="8.7109375" style="29"/>
  </cols>
  <sheetData>
    <row r="1" spans="1:22" x14ac:dyDescent="0.2">
      <c r="A1" s="29" t="s">
        <v>126</v>
      </c>
      <c r="B1" s="29" t="s">
        <v>127</v>
      </c>
      <c r="C1" s="30" t="s">
        <v>128</v>
      </c>
      <c r="D1" s="30" t="s">
        <v>129</v>
      </c>
      <c r="E1" s="30" t="s">
        <v>130</v>
      </c>
      <c r="F1" s="32" t="s">
        <v>131</v>
      </c>
      <c r="G1" s="32" t="s">
        <v>132</v>
      </c>
      <c r="H1" s="32" t="s">
        <v>133</v>
      </c>
      <c r="I1" s="32" t="s">
        <v>134</v>
      </c>
      <c r="J1" s="32" t="s">
        <v>135</v>
      </c>
      <c r="K1" s="32" t="s">
        <v>136</v>
      </c>
      <c r="L1" s="32" t="s">
        <v>137</v>
      </c>
      <c r="M1" s="32" t="s">
        <v>138</v>
      </c>
      <c r="N1" s="29" t="s">
        <v>139</v>
      </c>
      <c r="O1" s="29" t="s">
        <v>140</v>
      </c>
      <c r="P1" s="29" t="s">
        <v>141</v>
      </c>
      <c r="R1" s="37"/>
      <c r="S1" s="37"/>
      <c r="U1" s="29" t="s">
        <v>38</v>
      </c>
      <c r="V1" s="29" t="s">
        <v>39</v>
      </c>
    </row>
    <row r="2" spans="1:22" x14ac:dyDescent="0.2">
      <c r="A2" s="33" t="s">
        <v>142</v>
      </c>
      <c r="B2" s="33" t="s">
        <v>44</v>
      </c>
      <c r="C2" s="30">
        <v>1860</v>
      </c>
      <c r="D2" s="30">
        <v>141</v>
      </c>
      <c r="E2" s="30">
        <v>0</v>
      </c>
      <c r="F2" s="31">
        <v>0</v>
      </c>
      <c r="G2" s="31">
        <v>0</v>
      </c>
      <c r="H2" s="30">
        <v>0</v>
      </c>
      <c r="I2" s="32">
        <v>0</v>
      </c>
      <c r="J2" s="32">
        <v>176</v>
      </c>
      <c r="K2" s="32">
        <v>304</v>
      </c>
      <c r="L2" s="32">
        <v>1169</v>
      </c>
      <c r="M2" s="32">
        <v>1861</v>
      </c>
      <c r="N2" s="30">
        <f>ROUND(C2+G2+H2+(E2*2*0.08),1)</f>
        <v>1860</v>
      </c>
      <c r="O2" s="29">
        <v>5</v>
      </c>
      <c r="P2" s="32">
        <f>K2+O2</f>
        <v>309</v>
      </c>
      <c r="Q2" s="38"/>
      <c r="U2" s="29" t="s">
        <v>44</v>
      </c>
      <c r="V2" s="29" t="s">
        <v>34</v>
      </c>
    </row>
    <row r="3" spans="1:22" x14ac:dyDescent="0.2">
      <c r="A3" s="33" t="s">
        <v>142</v>
      </c>
      <c r="B3" s="33" t="s">
        <v>143</v>
      </c>
      <c r="C3" s="30">
        <v>0</v>
      </c>
      <c r="D3" s="30">
        <v>0</v>
      </c>
      <c r="E3" s="30">
        <v>0</v>
      </c>
      <c r="F3" s="31">
        <v>0</v>
      </c>
      <c r="G3" s="31">
        <v>0</v>
      </c>
      <c r="H3" s="30">
        <v>0</v>
      </c>
      <c r="I3" s="30">
        <v>5</v>
      </c>
      <c r="J3" s="32">
        <v>0</v>
      </c>
      <c r="K3" s="32">
        <v>0</v>
      </c>
      <c r="L3" s="32">
        <v>0</v>
      </c>
      <c r="M3" s="32">
        <v>0</v>
      </c>
      <c r="N3" s="30">
        <f t="shared" ref="N3:N50" si="0">ROUND(C3+G3+H3+(E3*2*0.08),1)</f>
        <v>0</v>
      </c>
      <c r="O3" s="29">
        <v>0</v>
      </c>
      <c r="P3" s="32">
        <f t="shared" ref="P3:P50" si="1">K3+O3</f>
        <v>0</v>
      </c>
      <c r="Q3" s="38"/>
      <c r="U3" s="29" t="s">
        <v>68</v>
      </c>
      <c r="V3" s="29" t="s">
        <v>69</v>
      </c>
    </row>
    <row r="4" spans="1:22" x14ac:dyDescent="0.2">
      <c r="A4" s="33" t="s">
        <v>142</v>
      </c>
      <c r="B4" s="33" t="s">
        <v>68</v>
      </c>
      <c r="C4" s="30">
        <v>828.5</v>
      </c>
      <c r="D4" s="30">
        <v>116</v>
      </c>
      <c r="E4" s="30">
        <v>0</v>
      </c>
      <c r="F4" s="31">
        <v>0</v>
      </c>
      <c r="G4" s="31">
        <v>0</v>
      </c>
      <c r="H4" s="30">
        <v>0</v>
      </c>
      <c r="I4" s="32">
        <v>0</v>
      </c>
      <c r="J4" s="32">
        <v>215</v>
      </c>
      <c r="K4" s="32">
        <v>244</v>
      </c>
      <c r="L4" s="32">
        <v>713</v>
      </c>
      <c r="M4" s="32">
        <v>829</v>
      </c>
      <c r="N4" s="30">
        <f t="shared" si="0"/>
        <v>828.5</v>
      </c>
      <c r="O4" s="29">
        <v>2</v>
      </c>
      <c r="P4" s="32">
        <f t="shared" si="1"/>
        <v>246</v>
      </c>
      <c r="Q4" s="38"/>
      <c r="U4" s="29" t="s">
        <v>43</v>
      </c>
      <c r="V4" s="29" t="s">
        <v>7</v>
      </c>
    </row>
    <row r="5" spans="1:22" x14ac:dyDescent="0.2">
      <c r="A5" s="33" t="s">
        <v>142</v>
      </c>
      <c r="B5" s="33" t="s">
        <v>144</v>
      </c>
      <c r="C5" s="30">
        <v>0</v>
      </c>
      <c r="D5" s="30">
        <v>0</v>
      </c>
      <c r="E5" s="30">
        <v>0</v>
      </c>
      <c r="F5" s="31">
        <v>0</v>
      </c>
      <c r="G5" s="31">
        <v>0</v>
      </c>
      <c r="H5" s="30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0">
        <f t="shared" si="0"/>
        <v>0</v>
      </c>
      <c r="O5" s="29">
        <v>10</v>
      </c>
      <c r="P5" s="32">
        <f t="shared" si="1"/>
        <v>10</v>
      </c>
      <c r="Q5" s="38"/>
      <c r="U5" s="29" t="s">
        <v>80</v>
      </c>
      <c r="V5" s="29" t="s">
        <v>76</v>
      </c>
    </row>
    <row r="6" spans="1:22" x14ac:dyDescent="0.2">
      <c r="A6" s="33" t="s">
        <v>142</v>
      </c>
      <c r="B6" s="33" t="s">
        <v>145</v>
      </c>
      <c r="C6" s="30">
        <v>0</v>
      </c>
      <c r="D6" s="30">
        <v>0</v>
      </c>
      <c r="E6" s="30">
        <v>0</v>
      </c>
      <c r="F6" s="31">
        <v>0</v>
      </c>
      <c r="G6" s="31">
        <v>0</v>
      </c>
      <c r="H6" s="30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0">
        <f t="shared" si="0"/>
        <v>0</v>
      </c>
      <c r="O6" s="29">
        <v>0</v>
      </c>
      <c r="P6" s="32">
        <f t="shared" si="1"/>
        <v>0</v>
      </c>
      <c r="Q6" s="38"/>
      <c r="U6" s="29" t="s">
        <v>49</v>
      </c>
      <c r="V6" s="29" t="s">
        <v>30</v>
      </c>
    </row>
    <row r="7" spans="1:22" x14ac:dyDescent="0.2">
      <c r="A7" s="33" t="s">
        <v>142</v>
      </c>
      <c r="B7" s="33" t="s">
        <v>146</v>
      </c>
      <c r="C7" s="30">
        <v>2107</v>
      </c>
      <c r="D7" s="30">
        <v>135</v>
      </c>
      <c r="E7" s="30">
        <v>0</v>
      </c>
      <c r="F7" s="31">
        <v>0</v>
      </c>
      <c r="G7" s="31">
        <v>0</v>
      </c>
      <c r="H7" s="30">
        <v>0</v>
      </c>
      <c r="I7" s="32">
        <v>0</v>
      </c>
      <c r="J7" s="32">
        <v>782</v>
      </c>
      <c r="K7" s="32">
        <v>1133</v>
      </c>
      <c r="L7" s="32">
        <v>1367</v>
      </c>
      <c r="M7" s="32">
        <v>2107</v>
      </c>
      <c r="N7" s="30">
        <f t="shared" si="0"/>
        <v>2107</v>
      </c>
      <c r="O7" s="29">
        <v>13</v>
      </c>
      <c r="P7" s="32">
        <f t="shared" si="1"/>
        <v>1146</v>
      </c>
      <c r="Q7" s="38"/>
      <c r="U7" s="29" t="s">
        <v>50</v>
      </c>
      <c r="V7" s="29" t="s">
        <v>35</v>
      </c>
    </row>
    <row r="8" spans="1:22" x14ac:dyDescent="0.2">
      <c r="A8" s="33" t="s">
        <v>147</v>
      </c>
      <c r="B8" s="33" t="s">
        <v>148</v>
      </c>
      <c r="C8" s="30">
        <v>350</v>
      </c>
      <c r="D8" s="30">
        <v>32</v>
      </c>
      <c r="E8" s="30">
        <v>0</v>
      </c>
      <c r="F8" s="31">
        <v>0</v>
      </c>
      <c r="G8" s="31">
        <v>0</v>
      </c>
      <c r="H8" s="30">
        <v>0</v>
      </c>
      <c r="I8" s="32">
        <v>0</v>
      </c>
      <c r="J8" s="32">
        <v>183</v>
      </c>
      <c r="K8" s="32">
        <v>200</v>
      </c>
      <c r="L8" s="32">
        <v>318</v>
      </c>
      <c r="M8" s="32">
        <v>350</v>
      </c>
      <c r="N8" s="30">
        <f t="shared" si="0"/>
        <v>350</v>
      </c>
      <c r="O8" s="29">
        <v>1</v>
      </c>
      <c r="P8" s="32">
        <f t="shared" si="1"/>
        <v>201</v>
      </c>
      <c r="Q8" s="38"/>
      <c r="U8" s="29" t="s">
        <v>97</v>
      </c>
      <c r="V8" s="29" t="s">
        <v>42</v>
      </c>
    </row>
    <row r="9" spans="1:22" x14ac:dyDescent="0.2">
      <c r="A9" s="33" t="s">
        <v>147</v>
      </c>
      <c r="B9" s="33" t="s">
        <v>149</v>
      </c>
      <c r="C9" s="30">
        <v>123</v>
      </c>
      <c r="D9" s="30">
        <v>0</v>
      </c>
      <c r="E9" s="30">
        <v>0</v>
      </c>
      <c r="F9" s="31">
        <v>0</v>
      </c>
      <c r="G9" s="31">
        <v>0</v>
      </c>
      <c r="H9" s="30">
        <v>0</v>
      </c>
      <c r="I9" s="32">
        <v>0</v>
      </c>
      <c r="J9" s="32">
        <v>0</v>
      </c>
      <c r="K9" s="32">
        <v>86</v>
      </c>
      <c r="L9" s="32">
        <v>0</v>
      </c>
      <c r="M9" s="32">
        <v>123</v>
      </c>
      <c r="N9" s="30">
        <f t="shared" si="0"/>
        <v>123</v>
      </c>
      <c r="O9" s="29">
        <v>1</v>
      </c>
      <c r="P9" s="32">
        <f t="shared" si="1"/>
        <v>87</v>
      </c>
      <c r="Q9" s="38"/>
      <c r="U9" s="29" t="s">
        <v>118</v>
      </c>
      <c r="V9" s="29" t="s">
        <v>119</v>
      </c>
    </row>
    <row r="10" spans="1:22" x14ac:dyDescent="0.2">
      <c r="A10" s="33" t="s">
        <v>147</v>
      </c>
      <c r="B10" s="33" t="s">
        <v>150</v>
      </c>
      <c r="C10" s="30">
        <v>198</v>
      </c>
      <c r="D10" s="30">
        <v>0</v>
      </c>
      <c r="E10" s="30">
        <v>0</v>
      </c>
      <c r="F10" s="31">
        <v>0</v>
      </c>
      <c r="G10" s="31">
        <v>0</v>
      </c>
      <c r="H10" s="30">
        <v>0</v>
      </c>
      <c r="I10" s="32">
        <v>0</v>
      </c>
      <c r="J10" s="32">
        <v>114</v>
      </c>
      <c r="K10" s="32">
        <v>114</v>
      </c>
      <c r="L10" s="32">
        <v>198</v>
      </c>
      <c r="M10" s="32">
        <v>198</v>
      </c>
      <c r="N10" s="30">
        <f t="shared" si="0"/>
        <v>198</v>
      </c>
      <c r="O10" s="29">
        <v>1</v>
      </c>
      <c r="P10" s="32">
        <f t="shared" si="1"/>
        <v>115</v>
      </c>
      <c r="Q10" s="38"/>
      <c r="U10" s="29" t="s">
        <v>79</v>
      </c>
      <c r="V10" s="29" t="s">
        <v>77</v>
      </c>
    </row>
    <row r="11" spans="1:22" x14ac:dyDescent="0.2">
      <c r="A11" s="33" t="s">
        <v>151</v>
      </c>
      <c r="B11" s="33" t="s">
        <v>46</v>
      </c>
      <c r="C11" s="30">
        <v>662</v>
      </c>
      <c r="D11" s="30">
        <v>67</v>
      </c>
      <c r="E11" s="30">
        <v>0</v>
      </c>
      <c r="F11" s="31">
        <v>0</v>
      </c>
      <c r="G11" s="31">
        <v>25.5</v>
      </c>
      <c r="H11" s="30">
        <v>1</v>
      </c>
      <c r="I11" s="32">
        <v>0</v>
      </c>
      <c r="J11" s="32">
        <v>266</v>
      </c>
      <c r="K11" s="32">
        <v>293</v>
      </c>
      <c r="L11" s="32">
        <v>595</v>
      </c>
      <c r="M11" s="32">
        <v>662</v>
      </c>
      <c r="N11" s="30">
        <f t="shared" si="0"/>
        <v>688.5</v>
      </c>
      <c r="O11" s="29">
        <v>4</v>
      </c>
      <c r="P11" s="32">
        <f t="shared" si="1"/>
        <v>297</v>
      </c>
      <c r="Q11" s="38"/>
      <c r="U11" s="29" t="s">
        <v>54</v>
      </c>
      <c r="V11" s="29" t="s">
        <v>17</v>
      </c>
    </row>
    <row r="12" spans="1:22" x14ac:dyDescent="0.2">
      <c r="A12" s="33" t="s">
        <v>152</v>
      </c>
      <c r="B12" s="33" t="s">
        <v>67</v>
      </c>
      <c r="C12" s="30">
        <v>473</v>
      </c>
      <c r="D12" s="30">
        <v>52</v>
      </c>
      <c r="E12" s="30">
        <v>0</v>
      </c>
      <c r="F12" s="31">
        <v>0</v>
      </c>
      <c r="G12" s="31">
        <v>0</v>
      </c>
      <c r="H12" s="30">
        <v>0</v>
      </c>
      <c r="I12" s="32">
        <v>0</v>
      </c>
      <c r="J12" s="32">
        <v>167</v>
      </c>
      <c r="K12" s="32">
        <v>181</v>
      </c>
      <c r="L12" s="32">
        <v>421</v>
      </c>
      <c r="M12" s="32">
        <v>473</v>
      </c>
      <c r="N12" s="30">
        <f t="shared" si="0"/>
        <v>473</v>
      </c>
      <c r="O12" s="29">
        <v>2</v>
      </c>
      <c r="P12" s="32">
        <f t="shared" si="1"/>
        <v>183</v>
      </c>
      <c r="Q12" s="38"/>
      <c r="U12" s="29" t="s">
        <v>55</v>
      </c>
      <c r="V12" s="29" t="s">
        <v>18</v>
      </c>
    </row>
    <row r="13" spans="1:22" x14ac:dyDescent="0.2">
      <c r="A13" s="33" t="s">
        <v>152</v>
      </c>
      <c r="B13" s="33" t="s">
        <v>47</v>
      </c>
      <c r="C13" s="30">
        <v>284</v>
      </c>
      <c r="D13" s="30">
        <v>0</v>
      </c>
      <c r="E13" s="30">
        <v>0</v>
      </c>
      <c r="F13" s="31">
        <v>0</v>
      </c>
      <c r="G13" s="31">
        <v>0</v>
      </c>
      <c r="H13" s="30">
        <v>0</v>
      </c>
      <c r="I13" s="32">
        <v>0</v>
      </c>
      <c r="J13" s="32">
        <v>54</v>
      </c>
      <c r="K13" s="32">
        <v>153</v>
      </c>
      <c r="L13" s="32">
        <v>88</v>
      </c>
      <c r="M13" s="32">
        <v>284</v>
      </c>
      <c r="N13" s="30">
        <f t="shared" si="0"/>
        <v>284</v>
      </c>
      <c r="O13" s="29">
        <v>3</v>
      </c>
      <c r="P13" s="32">
        <f t="shared" si="1"/>
        <v>156</v>
      </c>
      <c r="Q13" s="38"/>
      <c r="U13" s="29" t="s">
        <v>56</v>
      </c>
      <c r="V13" s="29" t="s">
        <v>31</v>
      </c>
    </row>
    <row r="14" spans="1:22" x14ac:dyDescent="0.2">
      <c r="A14" s="33" t="s">
        <v>152</v>
      </c>
      <c r="B14" s="33" t="s">
        <v>48</v>
      </c>
      <c r="C14" s="30">
        <v>249</v>
      </c>
      <c r="D14" s="30">
        <v>18</v>
      </c>
      <c r="E14" s="30">
        <v>0</v>
      </c>
      <c r="F14" s="31">
        <v>0</v>
      </c>
      <c r="G14" s="31">
        <v>0</v>
      </c>
      <c r="H14" s="30">
        <v>0</v>
      </c>
      <c r="I14" s="32">
        <v>0</v>
      </c>
      <c r="J14" s="32">
        <v>145</v>
      </c>
      <c r="K14" s="32">
        <v>150</v>
      </c>
      <c r="L14" s="32">
        <v>231</v>
      </c>
      <c r="M14" s="32">
        <v>249</v>
      </c>
      <c r="N14" s="30">
        <f t="shared" si="0"/>
        <v>249</v>
      </c>
      <c r="O14" s="29">
        <v>4</v>
      </c>
      <c r="P14" s="32">
        <f t="shared" si="1"/>
        <v>154</v>
      </c>
      <c r="Q14" s="38"/>
      <c r="U14" s="29" t="s">
        <v>58</v>
      </c>
      <c r="V14" s="29" t="s">
        <v>33</v>
      </c>
    </row>
    <row r="15" spans="1:22" x14ac:dyDescent="0.2">
      <c r="A15" s="33" t="s">
        <v>153</v>
      </c>
      <c r="B15" s="33" t="s">
        <v>80</v>
      </c>
      <c r="C15" s="30">
        <v>417.5</v>
      </c>
      <c r="D15" s="30">
        <v>0</v>
      </c>
      <c r="E15" s="30">
        <v>0</v>
      </c>
      <c r="F15" s="31">
        <v>0</v>
      </c>
      <c r="G15" s="31">
        <v>0</v>
      </c>
      <c r="H15" s="30">
        <v>0</v>
      </c>
      <c r="I15" s="32">
        <v>0</v>
      </c>
      <c r="J15" s="32">
        <v>0</v>
      </c>
      <c r="K15" s="32">
        <v>179</v>
      </c>
      <c r="L15" s="32">
        <v>0</v>
      </c>
      <c r="M15" s="32">
        <v>419</v>
      </c>
      <c r="N15" s="30">
        <f t="shared" si="0"/>
        <v>417.5</v>
      </c>
      <c r="O15" s="29">
        <v>6</v>
      </c>
      <c r="P15" s="32">
        <f t="shared" si="1"/>
        <v>185</v>
      </c>
      <c r="Q15" s="38"/>
      <c r="U15" s="29" t="s">
        <v>71</v>
      </c>
      <c r="V15" s="29" t="s">
        <v>70</v>
      </c>
    </row>
    <row r="16" spans="1:22" x14ac:dyDescent="0.2">
      <c r="A16" s="33" t="s">
        <v>153</v>
      </c>
      <c r="B16" s="33" t="s">
        <v>154</v>
      </c>
      <c r="C16" s="30">
        <v>0</v>
      </c>
      <c r="D16" s="30">
        <v>0</v>
      </c>
      <c r="E16" s="30">
        <v>0</v>
      </c>
      <c r="F16" s="31">
        <v>0</v>
      </c>
      <c r="G16" s="31">
        <v>3</v>
      </c>
      <c r="H16" s="30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0">
        <f t="shared" si="0"/>
        <v>3</v>
      </c>
      <c r="O16" s="29">
        <v>0</v>
      </c>
      <c r="P16" s="32">
        <f t="shared" si="1"/>
        <v>0</v>
      </c>
      <c r="Q16" s="38"/>
      <c r="U16" s="29" t="s">
        <v>114</v>
      </c>
      <c r="V16" s="29" t="s">
        <v>124</v>
      </c>
    </row>
    <row r="17" spans="1:22" x14ac:dyDescent="0.2">
      <c r="A17" s="33" t="s">
        <v>153</v>
      </c>
      <c r="B17" s="33" t="s">
        <v>49</v>
      </c>
      <c r="C17" s="30">
        <v>254.5</v>
      </c>
      <c r="D17" s="30">
        <v>48</v>
      </c>
      <c r="E17" s="30">
        <v>0</v>
      </c>
      <c r="F17" s="31">
        <v>0</v>
      </c>
      <c r="G17" s="31">
        <v>34</v>
      </c>
      <c r="H17" s="30">
        <v>0.5</v>
      </c>
      <c r="I17" s="30">
        <v>0</v>
      </c>
      <c r="J17" s="32">
        <v>101</v>
      </c>
      <c r="K17" s="32">
        <v>123</v>
      </c>
      <c r="L17" s="32">
        <v>207</v>
      </c>
      <c r="M17" s="32">
        <v>255</v>
      </c>
      <c r="N17" s="30">
        <f t="shared" si="0"/>
        <v>289</v>
      </c>
      <c r="O17" s="29">
        <v>2</v>
      </c>
      <c r="P17" s="32">
        <f t="shared" si="1"/>
        <v>125</v>
      </c>
      <c r="Q17" s="38"/>
      <c r="U17" s="29" t="s">
        <v>57</v>
      </c>
      <c r="V17" s="29" t="s">
        <v>32</v>
      </c>
    </row>
    <row r="18" spans="1:22" x14ac:dyDescent="0.2">
      <c r="A18" s="33" t="s">
        <v>153</v>
      </c>
      <c r="B18" s="33" t="s">
        <v>50</v>
      </c>
      <c r="C18" s="30">
        <v>170</v>
      </c>
      <c r="D18" s="30">
        <v>0</v>
      </c>
      <c r="E18" s="30">
        <v>0</v>
      </c>
      <c r="F18" s="31">
        <v>0</v>
      </c>
      <c r="G18" s="31">
        <v>0</v>
      </c>
      <c r="H18" s="30">
        <v>0</v>
      </c>
      <c r="I18" s="30">
        <v>0</v>
      </c>
      <c r="J18" s="32">
        <v>0</v>
      </c>
      <c r="K18" s="32">
        <v>139</v>
      </c>
      <c r="L18" s="32">
        <v>0</v>
      </c>
      <c r="M18" s="32">
        <v>170</v>
      </c>
      <c r="N18" s="30">
        <f t="shared" si="0"/>
        <v>170</v>
      </c>
      <c r="O18" s="29">
        <v>4</v>
      </c>
      <c r="P18" s="32">
        <f t="shared" si="1"/>
        <v>143</v>
      </c>
      <c r="Q18" s="38"/>
      <c r="U18" s="29" t="s">
        <v>53</v>
      </c>
      <c r="V18" s="29" t="s">
        <v>16</v>
      </c>
    </row>
    <row r="19" spans="1:22" x14ac:dyDescent="0.2">
      <c r="A19" s="33" t="s">
        <v>153</v>
      </c>
      <c r="B19" s="33" t="s">
        <v>155</v>
      </c>
      <c r="C19" s="30">
        <v>91</v>
      </c>
      <c r="D19" s="30">
        <v>0</v>
      </c>
      <c r="E19" s="30">
        <v>0</v>
      </c>
      <c r="F19" s="31">
        <v>0</v>
      </c>
      <c r="G19" s="31">
        <v>0</v>
      </c>
      <c r="H19" s="30">
        <v>0</v>
      </c>
      <c r="I19" s="32">
        <v>0</v>
      </c>
      <c r="J19" s="32">
        <v>0</v>
      </c>
      <c r="K19" s="32">
        <v>91</v>
      </c>
      <c r="L19" s="32">
        <v>0</v>
      </c>
      <c r="M19" s="32">
        <v>91</v>
      </c>
      <c r="N19" s="30">
        <f t="shared" si="0"/>
        <v>91</v>
      </c>
      <c r="O19" s="29">
        <v>0</v>
      </c>
      <c r="P19" s="32">
        <f t="shared" si="1"/>
        <v>91</v>
      </c>
      <c r="Q19" s="38"/>
      <c r="U19" s="29" t="s">
        <v>45</v>
      </c>
      <c r="V19" s="29" t="s">
        <v>9</v>
      </c>
    </row>
    <row r="20" spans="1:22" x14ac:dyDescent="0.2">
      <c r="A20" s="33" t="s">
        <v>156</v>
      </c>
      <c r="B20" s="33" t="s">
        <v>82</v>
      </c>
      <c r="C20" s="30">
        <v>87</v>
      </c>
      <c r="D20" s="30">
        <v>10</v>
      </c>
      <c r="E20" s="30">
        <v>0</v>
      </c>
      <c r="F20" s="31">
        <v>0</v>
      </c>
      <c r="G20" s="31">
        <v>0</v>
      </c>
      <c r="H20" s="30">
        <v>0</v>
      </c>
      <c r="I20" s="32">
        <v>0</v>
      </c>
      <c r="J20" s="32">
        <v>8</v>
      </c>
      <c r="K20" s="32">
        <v>8</v>
      </c>
      <c r="L20" s="32">
        <v>77</v>
      </c>
      <c r="M20" s="32">
        <v>87</v>
      </c>
      <c r="N20" s="30">
        <f t="shared" si="0"/>
        <v>87</v>
      </c>
      <c r="O20" s="29">
        <v>0</v>
      </c>
      <c r="P20" s="32">
        <f t="shared" si="1"/>
        <v>8</v>
      </c>
      <c r="Q20" s="38"/>
      <c r="U20" s="29" t="s">
        <v>46</v>
      </c>
      <c r="V20" s="29" t="s">
        <v>10</v>
      </c>
    </row>
    <row r="21" spans="1:22" x14ac:dyDescent="0.2">
      <c r="A21" s="33" t="s">
        <v>157</v>
      </c>
      <c r="B21" s="33" t="s">
        <v>173</v>
      </c>
      <c r="C21" s="30">
        <v>586.5</v>
      </c>
      <c r="D21" s="30">
        <v>28</v>
      </c>
      <c r="E21" s="30">
        <v>28</v>
      </c>
      <c r="F21" s="31">
        <v>0</v>
      </c>
      <c r="G21" s="31">
        <v>0</v>
      </c>
      <c r="H21" s="30">
        <v>0</v>
      </c>
      <c r="I21" s="30">
        <v>0</v>
      </c>
      <c r="J21" s="32">
        <v>16</v>
      </c>
      <c r="K21" s="32">
        <v>21</v>
      </c>
      <c r="L21" s="32">
        <v>515</v>
      </c>
      <c r="M21" s="32">
        <v>649</v>
      </c>
      <c r="N21" s="30">
        <f t="shared" si="0"/>
        <v>591</v>
      </c>
      <c r="O21" s="29">
        <v>1</v>
      </c>
      <c r="P21" s="32">
        <f t="shared" si="1"/>
        <v>22</v>
      </c>
      <c r="Q21" s="38"/>
      <c r="U21" s="29" t="s">
        <v>51</v>
      </c>
      <c r="V21" s="29" t="s">
        <v>36</v>
      </c>
    </row>
    <row r="22" spans="1:22" ht="13.5" customHeight="1" x14ac:dyDescent="0.2">
      <c r="A22" s="33" t="s">
        <v>157</v>
      </c>
      <c r="B22" s="33" t="s">
        <v>51</v>
      </c>
      <c r="C22" s="30">
        <v>829</v>
      </c>
      <c r="D22" s="30">
        <v>0</v>
      </c>
      <c r="E22" s="30">
        <v>0</v>
      </c>
      <c r="F22" s="31">
        <v>1</v>
      </c>
      <c r="G22" s="31">
        <v>0</v>
      </c>
      <c r="H22" s="30">
        <v>0</v>
      </c>
      <c r="I22" s="30">
        <v>1</v>
      </c>
      <c r="J22" s="32">
        <v>0</v>
      </c>
      <c r="K22" s="32">
        <v>29</v>
      </c>
      <c r="L22" s="32">
        <v>0</v>
      </c>
      <c r="M22" s="32">
        <v>898</v>
      </c>
      <c r="N22" s="30">
        <f t="shared" si="0"/>
        <v>829</v>
      </c>
      <c r="O22" s="29">
        <v>0</v>
      </c>
      <c r="P22" s="32">
        <f t="shared" si="1"/>
        <v>29</v>
      </c>
      <c r="Q22" s="38"/>
      <c r="U22" s="29" t="s">
        <v>61</v>
      </c>
      <c r="V22" s="29" t="s">
        <v>22</v>
      </c>
    </row>
    <row r="23" spans="1:22" x14ac:dyDescent="0.2">
      <c r="A23" s="33" t="s">
        <v>158</v>
      </c>
      <c r="B23" s="33" t="s">
        <v>52</v>
      </c>
      <c r="C23" s="30">
        <v>309</v>
      </c>
      <c r="D23" s="30">
        <v>29</v>
      </c>
      <c r="E23" s="30">
        <v>0</v>
      </c>
      <c r="F23" s="31">
        <v>0</v>
      </c>
      <c r="G23" s="31">
        <v>0</v>
      </c>
      <c r="H23" s="30">
        <v>0</v>
      </c>
      <c r="I23" s="32">
        <v>0</v>
      </c>
      <c r="J23" s="32">
        <v>33</v>
      </c>
      <c r="K23" s="32">
        <v>35</v>
      </c>
      <c r="L23" s="32">
        <v>280</v>
      </c>
      <c r="M23" s="32">
        <v>309</v>
      </c>
      <c r="N23" s="30">
        <f t="shared" si="0"/>
        <v>309</v>
      </c>
      <c r="O23" s="29">
        <v>2</v>
      </c>
      <c r="P23" s="32">
        <f t="shared" si="1"/>
        <v>37</v>
      </c>
      <c r="Q23" s="38"/>
      <c r="U23" s="29" t="s">
        <v>62</v>
      </c>
      <c r="V23" s="29" t="s">
        <v>23</v>
      </c>
    </row>
    <row r="24" spans="1:22" x14ac:dyDescent="0.2">
      <c r="A24" s="33" t="s">
        <v>159</v>
      </c>
      <c r="B24" s="33" t="s">
        <v>160</v>
      </c>
      <c r="C24" s="30">
        <v>0</v>
      </c>
      <c r="D24" s="30">
        <v>0</v>
      </c>
      <c r="E24" s="30">
        <v>0</v>
      </c>
      <c r="F24" s="31">
        <v>0</v>
      </c>
      <c r="G24" s="31">
        <v>0</v>
      </c>
      <c r="H24" s="30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0">
        <f t="shared" si="0"/>
        <v>0</v>
      </c>
      <c r="O24" s="29">
        <v>0</v>
      </c>
      <c r="P24" s="32">
        <f t="shared" si="1"/>
        <v>0</v>
      </c>
      <c r="Q24" s="38"/>
      <c r="U24" s="29" t="s">
        <v>52</v>
      </c>
      <c r="V24" s="29" t="s">
        <v>14</v>
      </c>
    </row>
    <row r="25" spans="1:22" x14ac:dyDescent="0.2">
      <c r="A25" s="33" t="s">
        <v>161</v>
      </c>
      <c r="B25" s="33" t="s">
        <v>118</v>
      </c>
      <c r="C25" s="30">
        <v>338</v>
      </c>
      <c r="D25" s="30">
        <v>49</v>
      </c>
      <c r="E25" s="30">
        <v>0</v>
      </c>
      <c r="F25" s="31">
        <v>0</v>
      </c>
      <c r="G25" s="31">
        <v>0</v>
      </c>
      <c r="H25" s="30">
        <v>0</v>
      </c>
      <c r="I25" s="32">
        <v>-1</v>
      </c>
      <c r="J25" s="32">
        <v>191</v>
      </c>
      <c r="K25" s="32">
        <v>224</v>
      </c>
      <c r="L25" s="32">
        <v>289</v>
      </c>
      <c r="M25" s="32">
        <v>338</v>
      </c>
      <c r="N25" s="30">
        <f t="shared" si="0"/>
        <v>338</v>
      </c>
      <c r="O25" s="29">
        <v>1</v>
      </c>
      <c r="P25" s="32">
        <f t="shared" si="1"/>
        <v>225</v>
      </c>
      <c r="Q25" s="38"/>
      <c r="U25" s="29" t="s">
        <v>73</v>
      </c>
      <c r="V25" s="29" t="s">
        <v>72</v>
      </c>
    </row>
    <row r="26" spans="1:22" x14ac:dyDescent="0.2">
      <c r="A26" s="33" t="s">
        <v>161</v>
      </c>
      <c r="B26" s="33" t="s">
        <v>79</v>
      </c>
      <c r="C26" s="30">
        <v>630.5</v>
      </c>
      <c r="D26" s="30">
        <v>61</v>
      </c>
      <c r="E26" s="30">
        <v>0</v>
      </c>
      <c r="F26" s="31">
        <v>0</v>
      </c>
      <c r="G26" s="31">
        <v>0</v>
      </c>
      <c r="H26" s="30">
        <v>0</v>
      </c>
      <c r="I26" s="32">
        <v>0</v>
      </c>
      <c r="J26" s="32">
        <v>169</v>
      </c>
      <c r="K26" s="32">
        <v>226</v>
      </c>
      <c r="L26" s="32">
        <v>489</v>
      </c>
      <c r="M26" s="32">
        <v>672</v>
      </c>
      <c r="N26" s="30">
        <f t="shared" si="0"/>
        <v>630.5</v>
      </c>
      <c r="O26" s="29">
        <v>2</v>
      </c>
      <c r="P26" s="32">
        <f t="shared" si="1"/>
        <v>228</v>
      </c>
      <c r="Q26" s="38"/>
      <c r="U26" s="29" t="s">
        <v>96</v>
      </c>
      <c r="V26" s="29" t="s">
        <v>83</v>
      </c>
    </row>
    <row r="27" spans="1:22" x14ac:dyDescent="0.2">
      <c r="A27" s="33" t="s">
        <v>161</v>
      </c>
      <c r="B27" s="33" t="s">
        <v>54</v>
      </c>
      <c r="C27" s="30">
        <v>382</v>
      </c>
      <c r="D27" s="30">
        <v>33</v>
      </c>
      <c r="E27" s="30">
        <v>0</v>
      </c>
      <c r="F27" s="31">
        <v>0</v>
      </c>
      <c r="G27" s="31">
        <v>0</v>
      </c>
      <c r="H27" s="30">
        <v>0</v>
      </c>
      <c r="I27" s="32">
        <v>0</v>
      </c>
      <c r="J27" s="32">
        <v>85</v>
      </c>
      <c r="K27" s="32">
        <v>97</v>
      </c>
      <c r="L27" s="32">
        <v>351</v>
      </c>
      <c r="M27" s="32">
        <v>384</v>
      </c>
      <c r="N27" s="30">
        <f t="shared" si="0"/>
        <v>382</v>
      </c>
      <c r="O27" s="29">
        <v>1</v>
      </c>
      <c r="P27" s="32">
        <f t="shared" si="1"/>
        <v>98</v>
      </c>
      <c r="Q27" s="38"/>
      <c r="U27" s="29" t="s">
        <v>65</v>
      </c>
      <c r="V27" s="29" t="s">
        <v>26</v>
      </c>
    </row>
    <row r="28" spans="1:22" x14ac:dyDescent="0.2">
      <c r="A28" s="33" t="s">
        <v>161</v>
      </c>
      <c r="B28" s="33" t="s">
        <v>55</v>
      </c>
      <c r="C28" s="30">
        <v>540</v>
      </c>
      <c r="D28" s="30">
        <v>0</v>
      </c>
      <c r="E28" s="30">
        <v>0</v>
      </c>
      <c r="F28" s="31">
        <v>0</v>
      </c>
      <c r="G28" s="31">
        <v>0</v>
      </c>
      <c r="H28" s="30">
        <v>0</v>
      </c>
      <c r="I28" s="32">
        <v>0</v>
      </c>
      <c r="J28" s="32">
        <v>0</v>
      </c>
      <c r="K28" s="32">
        <v>99</v>
      </c>
      <c r="L28" s="32">
        <v>0</v>
      </c>
      <c r="M28" s="32">
        <v>546</v>
      </c>
      <c r="N28" s="30">
        <f t="shared" si="0"/>
        <v>540</v>
      </c>
      <c r="O28" s="29">
        <v>0</v>
      </c>
      <c r="P28" s="32">
        <f t="shared" si="1"/>
        <v>99</v>
      </c>
      <c r="Q28" s="38"/>
      <c r="U28" s="29" t="s">
        <v>81</v>
      </c>
      <c r="V28" s="29" t="s">
        <v>78</v>
      </c>
    </row>
    <row r="29" spans="1:22" x14ac:dyDescent="0.2">
      <c r="A29" s="33" t="s">
        <v>161</v>
      </c>
      <c r="B29" s="33" t="s">
        <v>56</v>
      </c>
      <c r="C29" s="30">
        <v>247.5</v>
      </c>
      <c r="D29" s="30">
        <v>42.5</v>
      </c>
      <c r="E29" s="30">
        <v>6</v>
      </c>
      <c r="F29" s="31">
        <v>0</v>
      </c>
      <c r="G29" s="31">
        <v>0</v>
      </c>
      <c r="H29" s="30">
        <v>0</v>
      </c>
      <c r="I29" s="32">
        <v>0</v>
      </c>
      <c r="J29" s="32">
        <v>75</v>
      </c>
      <c r="K29" s="32">
        <v>83</v>
      </c>
      <c r="L29" s="32">
        <v>225</v>
      </c>
      <c r="M29" s="32">
        <v>274</v>
      </c>
      <c r="N29" s="30">
        <f t="shared" si="0"/>
        <v>248.5</v>
      </c>
      <c r="O29" s="29">
        <v>0</v>
      </c>
      <c r="P29" s="32">
        <f t="shared" si="1"/>
        <v>83</v>
      </c>
      <c r="Q29" s="38"/>
      <c r="U29" s="29" t="s">
        <v>116</v>
      </c>
      <c r="V29" s="29" t="s">
        <v>122</v>
      </c>
    </row>
    <row r="30" spans="1:22" x14ac:dyDescent="0.2">
      <c r="A30" s="33" t="s">
        <v>161</v>
      </c>
      <c r="B30" s="33" t="s">
        <v>58</v>
      </c>
      <c r="C30" s="30">
        <v>304</v>
      </c>
      <c r="D30" s="30">
        <v>52</v>
      </c>
      <c r="E30" s="30">
        <v>0</v>
      </c>
      <c r="F30" s="31">
        <v>0</v>
      </c>
      <c r="G30" s="31">
        <v>0</v>
      </c>
      <c r="H30" s="30">
        <v>0</v>
      </c>
      <c r="I30" s="32">
        <v>0</v>
      </c>
      <c r="J30" s="32">
        <v>99</v>
      </c>
      <c r="K30" s="32">
        <v>122</v>
      </c>
      <c r="L30" s="32">
        <v>252</v>
      </c>
      <c r="M30" s="32">
        <v>304</v>
      </c>
      <c r="N30" s="30">
        <f t="shared" si="0"/>
        <v>304</v>
      </c>
      <c r="O30" s="29">
        <v>0</v>
      </c>
      <c r="P30" s="32">
        <f t="shared" si="1"/>
        <v>122</v>
      </c>
      <c r="Q30" s="38"/>
      <c r="U30" s="29" t="s">
        <v>115</v>
      </c>
      <c r="V30" s="29" t="s">
        <v>120</v>
      </c>
    </row>
    <row r="31" spans="1:22" x14ac:dyDescent="0.2">
      <c r="A31" s="33" t="s">
        <v>161</v>
      </c>
      <c r="B31" s="33" t="s">
        <v>71</v>
      </c>
      <c r="C31" s="30">
        <v>58</v>
      </c>
      <c r="D31" s="30">
        <v>0</v>
      </c>
      <c r="E31" s="30">
        <v>0</v>
      </c>
      <c r="F31" s="31">
        <v>0</v>
      </c>
      <c r="G31" s="31">
        <v>0</v>
      </c>
      <c r="H31" s="30">
        <v>0</v>
      </c>
      <c r="I31" s="32">
        <v>0</v>
      </c>
      <c r="J31" s="32">
        <v>0</v>
      </c>
      <c r="K31" s="32">
        <v>10</v>
      </c>
      <c r="L31" s="32">
        <v>0</v>
      </c>
      <c r="M31" s="32">
        <v>58</v>
      </c>
      <c r="N31" s="30">
        <f t="shared" si="0"/>
        <v>58</v>
      </c>
      <c r="O31" s="29">
        <v>0</v>
      </c>
      <c r="P31" s="32">
        <f t="shared" si="1"/>
        <v>10</v>
      </c>
      <c r="Q31" s="38"/>
      <c r="U31" s="29" t="s">
        <v>63</v>
      </c>
      <c r="V31" s="29" t="s">
        <v>123</v>
      </c>
    </row>
    <row r="32" spans="1:22" x14ac:dyDescent="0.2">
      <c r="A32" s="33" t="s">
        <v>161</v>
      </c>
      <c r="B32" s="33" t="s">
        <v>57</v>
      </c>
      <c r="C32" s="30">
        <v>322.5</v>
      </c>
      <c r="D32" s="30">
        <v>54</v>
      </c>
      <c r="E32" s="30">
        <v>8</v>
      </c>
      <c r="F32" s="31">
        <v>0</v>
      </c>
      <c r="G32" s="31">
        <v>0</v>
      </c>
      <c r="H32" s="30">
        <v>0</v>
      </c>
      <c r="I32" s="32">
        <v>0</v>
      </c>
      <c r="J32" s="32">
        <v>76</v>
      </c>
      <c r="K32" s="32">
        <v>90</v>
      </c>
      <c r="L32" s="32">
        <v>312</v>
      </c>
      <c r="M32" s="32">
        <v>374</v>
      </c>
      <c r="N32" s="30">
        <f t="shared" si="0"/>
        <v>323.8</v>
      </c>
      <c r="O32" s="29">
        <v>0</v>
      </c>
      <c r="P32" s="32">
        <f t="shared" si="1"/>
        <v>90</v>
      </c>
      <c r="Q32" s="38"/>
      <c r="U32" s="29" t="s">
        <v>117</v>
      </c>
      <c r="V32" s="29" t="s">
        <v>121</v>
      </c>
    </row>
    <row r="33" spans="1:22" x14ac:dyDescent="0.2">
      <c r="A33" s="33" t="s">
        <v>161</v>
      </c>
      <c r="B33" s="33" t="s">
        <v>53</v>
      </c>
      <c r="C33" s="30">
        <v>905</v>
      </c>
      <c r="D33" s="30">
        <v>68</v>
      </c>
      <c r="E33" s="30">
        <v>7</v>
      </c>
      <c r="F33" s="31">
        <v>0</v>
      </c>
      <c r="G33" s="31">
        <v>0</v>
      </c>
      <c r="H33" s="30">
        <v>0</v>
      </c>
      <c r="I33" s="32">
        <v>0</v>
      </c>
      <c r="J33" s="32">
        <v>107</v>
      </c>
      <c r="K33" s="32">
        <v>141</v>
      </c>
      <c r="L33" s="32">
        <v>585</v>
      </c>
      <c r="M33" s="32">
        <v>912</v>
      </c>
      <c r="N33" s="30">
        <f t="shared" si="0"/>
        <v>906.1</v>
      </c>
      <c r="O33" s="29">
        <v>1</v>
      </c>
      <c r="P33" s="32">
        <f t="shared" si="1"/>
        <v>142</v>
      </c>
      <c r="Q33" s="38"/>
      <c r="U33" s="29" t="s">
        <v>64</v>
      </c>
      <c r="V33" s="29" t="s">
        <v>27</v>
      </c>
    </row>
    <row r="34" spans="1:22" x14ac:dyDescent="0.2">
      <c r="A34" s="33" t="s">
        <v>161</v>
      </c>
      <c r="B34" s="33" t="s">
        <v>114</v>
      </c>
      <c r="C34" s="30">
        <v>224</v>
      </c>
      <c r="D34" s="30">
        <v>40</v>
      </c>
      <c r="E34" s="30">
        <v>0</v>
      </c>
      <c r="F34" s="31">
        <v>0</v>
      </c>
      <c r="G34" s="31">
        <v>0</v>
      </c>
      <c r="H34" s="30">
        <v>0</v>
      </c>
      <c r="I34" s="32">
        <v>0</v>
      </c>
      <c r="J34" s="32">
        <v>107</v>
      </c>
      <c r="K34" s="32">
        <v>127</v>
      </c>
      <c r="L34" s="32">
        <v>184</v>
      </c>
      <c r="M34" s="32">
        <v>224</v>
      </c>
      <c r="N34" s="30">
        <f t="shared" si="0"/>
        <v>224</v>
      </c>
      <c r="O34" s="29">
        <v>0</v>
      </c>
      <c r="P34" s="32">
        <f t="shared" si="1"/>
        <v>127</v>
      </c>
      <c r="Q34" s="38"/>
      <c r="U34" s="29" t="s">
        <v>59</v>
      </c>
      <c r="V34" s="29" t="s">
        <v>20</v>
      </c>
    </row>
    <row r="35" spans="1:22" x14ac:dyDescent="0.2">
      <c r="A35" s="33" t="s">
        <v>162</v>
      </c>
      <c r="B35" s="33" t="s">
        <v>59</v>
      </c>
      <c r="C35" s="30">
        <v>313</v>
      </c>
      <c r="D35" s="30">
        <v>45</v>
      </c>
      <c r="E35" s="30">
        <v>0</v>
      </c>
      <c r="F35" s="31">
        <v>0</v>
      </c>
      <c r="G35" s="31">
        <v>0</v>
      </c>
      <c r="H35" s="30">
        <v>0</v>
      </c>
      <c r="I35" s="32">
        <v>0</v>
      </c>
      <c r="J35" s="32">
        <v>49</v>
      </c>
      <c r="K35" s="32">
        <v>57</v>
      </c>
      <c r="L35" s="32">
        <v>268</v>
      </c>
      <c r="M35" s="32">
        <v>313</v>
      </c>
      <c r="N35" s="30">
        <f t="shared" si="0"/>
        <v>313</v>
      </c>
      <c r="O35" s="29">
        <v>0</v>
      </c>
      <c r="P35" s="32">
        <f t="shared" si="1"/>
        <v>57</v>
      </c>
      <c r="Q35" s="38"/>
      <c r="U35" s="29" t="s">
        <v>60</v>
      </c>
      <c r="V35" s="29" t="s">
        <v>37</v>
      </c>
    </row>
    <row r="36" spans="1:22" x14ac:dyDescent="0.2">
      <c r="A36" s="33" t="s">
        <v>162</v>
      </c>
      <c r="B36" s="33" t="s">
        <v>60</v>
      </c>
      <c r="C36" s="30">
        <v>372.5</v>
      </c>
      <c r="D36" s="30">
        <v>37.5</v>
      </c>
      <c r="E36" s="30">
        <v>0.5</v>
      </c>
      <c r="F36" s="31">
        <v>0</v>
      </c>
      <c r="G36" s="31">
        <v>0</v>
      </c>
      <c r="H36" s="30">
        <v>0</v>
      </c>
      <c r="I36" s="32">
        <v>0</v>
      </c>
      <c r="J36" s="32">
        <v>17</v>
      </c>
      <c r="K36" s="32">
        <v>17</v>
      </c>
      <c r="L36" s="32">
        <v>335</v>
      </c>
      <c r="M36" s="32">
        <v>373</v>
      </c>
      <c r="N36" s="30">
        <f t="shared" si="0"/>
        <v>372.6</v>
      </c>
      <c r="O36" s="29">
        <v>3</v>
      </c>
      <c r="P36" s="32">
        <f t="shared" si="1"/>
        <v>20</v>
      </c>
      <c r="Q36" s="38"/>
      <c r="U36" s="29" t="s">
        <v>82</v>
      </c>
      <c r="V36" s="29" t="s">
        <v>41</v>
      </c>
    </row>
    <row r="37" spans="1:22" x14ac:dyDescent="0.2">
      <c r="A37" s="33" t="s">
        <v>163</v>
      </c>
      <c r="B37" s="33" t="s">
        <v>73</v>
      </c>
      <c r="C37" s="30">
        <v>0</v>
      </c>
      <c r="D37" s="30">
        <v>0</v>
      </c>
      <c r="E37" s="30">
        <v>0</v>
      </c>
      <c r="F37" s="31">
        <v>0</v>
      </c>
      <c r="G37" s="31">
        <v>0</v>
      </c>
      <c r="H37" s="30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0">
        <f t="shared" si="0"/>
        <v>0</v>
      </c>
      <c r="O37" s="29">
        <v>0</v>
      </c>
      <c r="P37" s="32">
        <f t="shared" si="1"/>
        <v>0</v>
      </c>
      <c r="Q37" s="38"/>
      <c r="U37" s="29" t="s">
        <v>74</v>
      </c>
      <c r="V37" s="29" t="s">
        <v>75</v>
      </c>
    </row>
    <row r="38" spans="1:22" x14ac:dyDescent="0.2">
      <c r="A38" s="33" t="s">
        <v>164</v>
      </c>
      <c r="B38" s="33" t="s">
        <v>96</v>
      </c>
      <c r="C38" s="30">
        <v>693.5</v>
      </c>
      <c r="D38" s="30">
        <v>42.5</v>
      </c>
      <c r="E38" s="30">
        <v>12.5</v>
      </c>
      <c r="F38" s="31">
        <v>0</v>
      </c>
      <c r="G38" s="31">
        <v>0</v>
      </c>
      <c r="H38" s="30">
        <v>0</v>
      </c>
      <c r="I38" s="32">
        <v>0</v>
      </c>
      <c r="J38" s="32">
        <v>29</v>
      </c>
      <c r="K38" s="32">
        <v>39</v>
      </c>
      <c r="L38" s="32">
        <v>490</v>
      </c>
      <c r="M38" s="32">
        <v>706</v>
      </c>
      <c r="N38" s="30">
        <f t="shared" si="0"/>
        <v>695.5</v>
      </c>
      <c r="O38" s="29">
        <v>3</v>
      </c>
      <c r="P38" s="32">
        <f t="shared" si="1"/>
        <v>42</v>
      </c>
      <c r="Q38" s="38"/>
      <c r="U38" s="29" t="s">
        <v>67</v>
      </c>
      <c r="V38" s="29" t="s">
        <v>66</v>
      </c>
    </row>
    <row r="39" spans="1:22" x14ac:dyDescent="0.2">
      <c r="A39" s="33" t="s">
        <v>165</v>
      </c>
      <c r="B39" s="33" t="s">
        <v>61</v>
      </c>
      <c r="C39" s="30">
        <v>195.5</v>
      </c>
      <c r="D39" s="30">
        <v>0</v>
      </c>
      <c r="E39" s="30">
        <v>0</v>
      </c>
      <c r="F39" s="31">
        <v>0</v>
      </c>
      <c r="G39" s="31">
        <v>0</v>
      </c>
      <c r="H39" s="30">
        <v>0</v>
      </c>
      <c r="I39" s="32">
        <v>0</v>
      </c>
      <c r="J39" s="32">
        <v>0</v>
      </c>
      <c r="K39" s="32">
        <v>36</v>
      </c>
      <c r="L39" s="32">
        <v>0</v>
      </c>
      <c r="M39" s="32">
        <v>198</v>
      </c>
      <c r="N39" s="30">
        <f t="shared" si="0"/>
        <v>195.5</v>
      </c>
      <c r="O39" s="29">
        <v>0</v>
      </c>
      <c r="P39" s="32">
        <f t="shared" si="1"/>
        <v>36</v>
      </c>
      <c r="Q39" s="38"/>
      <c r="U39" s="29" t="s">
        <v>47</v>
      </c>
      <c r="V39" s="29" t="s">
        <v>11</v>
      </c>
    </row>
    <row r="40" spans="1:22" x14ac:dyDescent="0.2">
      <c r="A40" s="33" t="s">
        <v>165</v>
      </c>
      <c r="B40" s="33" t="s">
        <v>62</v>
      </c>
      <c r="C40" s="30">
        <v>246.5</v>
      </c>
      <c r="D40" s="30">
        <v>0</v>
      </c>
      <c r="E40" s="30">
        <v>0</v>
      </c>
      <c r="F40" s="31">
        <v>0</v>
      </c>
      <c r="G40" s="31">
        <v>0</v>
      </c>
      <c r="H40" s="30">
        <v>0</v>
      </c>
      <c r="I40" s="32">
        <v>0</v>
      </c>
      <c r="J40" s="32">
        <v>24</v>
      </c>
      <c r="K40" s="32">
        <v>24</v>
      </c>
      <c r="L40" s="32">
        <v>253</v>
      </c>
      <c r="M40" s="32">
        <v>253</v>
      </c>
      <c r="N40" s="30">
        <f t="shared" si="0"/>
        <v>246.5</v>
      </c>
      <c r="O40" s="29">
        <v>0</v>
      </c>
      <c r="P40" s="32">
        <f t="shared" si="1"/>
        <v>24</v>
      </c>
      <c r="Q40" s="38"/>
      <c r="U40" s="29" t="s">
        <v>48</v>
      </c>
      <c r="V40" s="29" t="s">
        <v>12</v>
      </c>
    </row>
    <row r="41" spans="1:22" x14ac:dyDescent="0.2">
      <c r="A41" s="39" t="s">
        <v>166</v>
      </c>
      <c r="B41" s="39" t="s">
        <v>116</v>
      </c>
      <c r="C41" s="40">
        <v>220.5</v>
      </c>
      <c r="D41" s="40">
        <v>0</v>
      </c>
      <c r="E41" s="30">
        <v>0</v>
      </c>
      <c r="F41" s="41">
        <v>0</v>
      </c>
      <c r="G41" s="41">
        <v>0</v>
      </c>
      <c r="H41" s="40">
        <v>0</v>
      </c>
      <c r="I41" s="42">
        <v>0</v>
      </c>
      <c r="J41" s="42">
        <v>28</v>
      </c>
      <c r="K41" s="42">
        <v>28</v>
      </c>
      <c r="L41" s="42">
        <v>383</v>
      </c>
      <c r="M41" s="42">
        <v>383</v>
      </c>
      <c r="N41" s="30">
        <f t="shared" si="0"/>
        <v>220.5</v>
      </c>
      <c r="O41" s="29">
        <v>1</v>
      </c>
      <c r="P41" s="32">
        <f t="shared" si="1"/>
        <v>29</v>
      </c>
      <c r="Q41" s="43"/>
      <c r="U41" s="33" t="s">
        <v>174</v>
      </c>
      <c r="V41" s="29" t="s">
        <v>212</v>
      </c>
    </row>
    <row r="42" spans="1:22" x14ac:dyDescent="0.2">
      <c r="A42" s="39" t="s">
        <v>166</v>
      </c>
      <c r="B42" s="39" t="s">
        <v>115</v>
      </c>
      <c r="C42" s="40">
        <v>191</v>
      </c>
      <c r="D42" s="40">
        <v>40</v>
      </c>
      <c r="E42" s="30">
        <v>0</v>
      </c>
      <c r="F42" s="41">
        <v>0</v>
      </c>
      <c r="G42" s="41">
        <v>0</v>
      </c>
      <c r="H42" s="40">
        <v>0</v>
      </c>
      <c r="I42" s="42">
        <v>0</v>
      </c>
      <c r="J42" s="42">
        <v>47</v>
      </c>
      <c r="K42" s="42">
        <v>58</v>
      </c>
      <c r="L42" s="42">
        <v>158</v>
      </c>
      <c r="M42" s="42">
        <v>198</v>
      </c>
      <c r="N42" s="30">
        <f t="shared" si="0"/>
        <v>191</v>
      </c>
      <c r="O42" s="29">
        <v>1</v>
      </c>
      <c r="P42" s="32">
        <f t="shared" si="1"/>
        <v>59</v>
      </c>
      <c r="Q42" s="43"/>
    </row>
    <row r="43" spans="1:22" x14ac:dyDescent="0.2">
      <c r="A43" s="39" t="s">
        <v>166</v>
      </c>
      <c r="B43" s="39" t="s">
        <v>63</v>
      </c>
      <c r="C43" s="40">
        <v>185</v>
      </c>
      <c r="D43" s="40">
        <v>41</v>
      </c>
      <c r="E43" s="30">
        <v>0</v>
      </c>
      <c r="F43" s="41">
        <v>0</v>
      </c>
      <c r="G43" s="41">
        <v>0</v>
      </c>
      <c r="H43" s="40">
        <v>0</v>
      </c>
      <c r="I43" s="42">
        <v>0</v>
      </c>
      <c r="J43" s="42">
        <v>47</v>
      </c>
      <c r="K43" s="42">
        <v>58</v>
      </c>
      <c r="L43" s="42">
        <v>144</v>
      </c>
      <c r="M43" s="42">
        <v>185</v>
      </c>
      <c r="N43" s="30">
        <f t="shared" si="0"/>
        <v>185</v>
      </c>
      <c r="O43" s="29">
        <v>1</v>
      </c>
      <c r="P43" s="32">
        <f t="shared" si="1"/>
        <v>59</v>
      </c>
      <c r="Q43" s="43"/>
    </row>
    <row r="44" spans="1:22" x14ac:dyDescent="0.2">
      <c r="A44" s="39" t="s">
        <v>166</v>
      </c>
      <c r="B44" s="39" t="s">
        <v>174</v>
      </c>
      <c r="C44" s="40">
        <v>238.5</v>
      </c>
      <c r="D44" s="40">
        <v>31.5</v>
      </c>
      <c r="E44" s="30">
        <v>31.5</v>
      </c>
      <c r="F44" s="41">
        <v>1</v>
      </c>
      <c r="G44" s="41">
        <v>0</v>
      </c>
      <c r="H44" s="40">
        <v>0</v>
      </c>
      <c r="I44" s="42">
        <v>1</v>
      </c>
      <c r="J44" s="42">
        <v>10</v>
      </c>
      <c r="K44" s="42">
        <v>18</v>
      </c>
      <c r="L44" s="42">
        <v>207</v>
      </c>
      <c r="M44" s="42">
        <v>270</v>
      </c>
      <c r="N44" s="30">
        <f t="shared" si="0"/>
        <v>243.5</v>
      </c>
      <c r="O44" s="29">
        <v>0</v>
      </c>
      <c r="P44" s="32">
        <f t="shared" si="1"/>
        <v>18</v>
      </c>
      <c r="Q44" s="43"/>
    </row>
    <row r="45" spans="1:22" x14ac:dyDescent="0.2">
      <c r="A45" s="39" t="s">
        <v>166</v>
      </c>
      <c r="B45" s="39" t="s">
        <v>117</v>
      </c>
      <c r="C45" s="40">
        <v>603.5</v>
      </c>
      <c r="D45" s="40">
        <v>75.5</v>
      </c>
      <c r="E45" s="30">
        <v>75.5</v>
      </c>
      <c r="F45" s="41">
        <v>0</v>
      </c>
      <c r="G45" s="41">
        <v>0</v>
      </c>
      <c r="H45" s="40">
        <v>0</v>
      </c>
      <c r="I45" s="42">
        <v>0</v>
      </c>
      <c r="J45" s="42">
        <v>48</v>
      </c>
      <c r="K45" s="42">
        <v>58</v>
      </c>
      <c r="L45" s="42">
        <v>914</v>
      </c>
      <c r="M45" s="42">
        <v>1109</v>
      </c>
      <c r="N45" s="30">
        <f t="shared" si="0"/>
        <v>615.6</v>
      </c>
      <c r="O45" s="29">
        <v>2</v>
      </c>
      <c r="P45" s="32">
        <f t="shared" si="1"/>
        <v>60</v>
      </c>
      <c r="Q45" s="43"/>
    </row>
    <row r="46" spans="1:22" x14ac:dyDescent="0.2">
      <c r="A46" s="39" t="s">
        <v>166</v>
      </c>
      <c r="B46" s="39" t="s">
        <v>64</v>
      </c>
      <c r="C46" s="40">
        <v>1273</v>
      </c>
      <c r="D46" s="40">
        <v>0</v>
      </c>
      <c r="E46" s="30">
        <v>0</v>
      </c>
      <c r="F46" s="41">
        <v>0</v>
      </c>
      <c r="G46" s="41">
        <v>0</v>
      </c>
      <c r="H46" s="40">
        <v>0</v>
      </c>
      <c r="I46" s="42">
        <v>0</v>
      </c>
      <c r="J46" s="42">
        <v>45</v>
      </c>
      <c r="K46" s="42">
        <v>161</v>
      </c>
      <c r="L46" s="42">
        <v>229</v>
      </c>
      <c r="M46" s="42">
        <v>1345</v>
      </c>
      <c r="N46" s="30">
        <f t="shared" si="0"/>
        <v>1273</v>
      </c>
      <c r="O46" s="29">
        <v>0</v>
      </c>
      <c r="P46" s="32">
        <f t="shared" si="1"/>
        <v>161</v>
      </c>
      <c r="Q46" s="43"/>
    </row>
    <row r="47" spans="1:22" x14ac:dyDescent="0.2">
      <c r="A47" s="39" t="s">
        <v>166</v>
      </c>
      <c r="B47" s="39" t="s">
        <v>167</v>
      </c>
      <c r="C47" s="40">
        <v>0</v>
      </c>
      <c r="D47" s="40">
        <v>0</v>
      </c>
      <c r="E47" s="30">
        <v>0</v>
      </c>
      <c r="F47" s="41">
        <v>0</v>
      </c>
      <c r="G47" s="41">
        <v>0</v>
      </c>
      <c r="H47" s="40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30">
        <f t="shared" si="0"/>
        <v>0</v>
      </c>
      <c r="O47" s="29">
        <v>0</v>
      </c>
      <c r="P47" s="32">
        <f t="shared" si="1"/>
        <v>0</v>
      </c>
      <c r="Q47" s="38"/>
    </row>
    <row r="48" spans="1:22" x14ac:dyDescent="0.2">
      <c r="A48" s="33" t="s">
        <v>168</v>
      </c>
      <c r="B48" s="33" t="s">
        <v>65</v>
      </c>
      <c r="C48" s="30">
        <v>885</v>
      </c>
      <c r="D48" s="30">
        <v>68</v>
      </c>
      <c r="E48" s="30">
        <v>8</v>
      </c>
      <c r="F48" s="31">
        <v>0</v>
      </c>
      <c r="G48" s="31">
        <v>0</v>
      </c>
      <c r="H48" s="30">
        <v>0</v>
      </c>
      <c r="I48" s="32">
        <v>0</v>
      </c>
      <c r="J48" s="32">
        <v>84</v>
      </c>
      <c r="K48" s="32">
        <v>113</v>
      </c>
      <c r="L48" s="32">
        <v>632</v>
      </c>
      <c r="M48" s="32">
        <v>893</v>
      </c>
      <c r="N48" s="30">
        <f t="shared" si="0"/>
        <v>886.3</v>
      </c>
      <c r="O48" s="29">
        <v>0</v>
      </c>
      <c r="P48" s="32">
        <f t="shared" si="1"/>
        <v>113</v>
      </c>
      <c r="Q48" s="37"/>
    </row>
    <row r="49" spans="1:19" x14ac:dyDescent="0.2">
      <c r="A49" s="33" t="s">
        <v>168</v>
      </c>
      <c r="B49" s="33" t="s">
        <v>81</v>
      </c>
      <c r="C49" s="30">
        <v>41</v>
      </c>
      <c r="D49" s="30">
        <v>14</v>
      </c>
      <c r="E49" s="30">
        <v>0</v>
      </c>
      <c r="F49" s="31">
        <v>0</v>
      </c>
      <c r="G49" s="31">
        <v>12</v>
      </c>
      <c r="H49" s="30">
        <v>0</v>
      </c>
      <c r="I49" s="32">
        <v>0</v>
      </c>
      <c r="J49" s="32">
        <v>3</v>
      </c>
      <c r="K49" s="32">
        <v>4</v>
      </c>
      <c r="L49" s="32">
        <v>27</v>
      </c>
      <c r="M49" s="32">
        <v>41</v>
      </c>
      <c r="N49" s="30">
        <f t="shared" si="0"/>
        <v>53</v>
      </c>
      <c r="O49" s="29">
        <v>0</v>
      </c>
      <c r="P49" s="32">
        <f t="shared" si="1"/>
        <v>4</v>
      </c>
      <c r="Q49" s="38"/>
    </row>
    <row r="50" spans="1:19" x14ac:dyDescent="0.2">
      <c r="A50" s="33" t="s">
        <v>169</v>
      </c>
      <c r="B50" s="33" t="s">
        <v>74</v>
      </c>
      <c r="C50" s="30">
        <v>135</v>
      </c>
      <c r="D50" s="30">
        <v>29</v>
      </c>
      <c r="E50" s="30">
        <v>0</v>
      </c>
      <c r="F50" s="31">
        <v>0</v>
      </c>
      <c r="G50" s="31">
        <v>0</v>
      </c>
      <c r="H50" s="30">
        <v>0</v>
      </c>
      <c r="I50" s="32">
        <v>0</v>
      </c>
      <c r="J50" s="32">
        <v>3</v>
      </c>
      <c r="K50" s="32">
        <v>5</v>
      </c>
      <c r="L50" s="32">
        <v>106</v>
      </c>
      <c r="M50" s="32">
        <v>135</v>
      </c>
      <c r="N50" s="30">
        <f t="shared" si="0"/>
        <v>135</v>
      </c>
      <c r="O50" s="29">
        <v>1</v>
      </c>
      <c r="P50" s="32">
        <f t="shared" si="1"/>
        <v>6</v>
      </c>
      <c r="Q50" s="38"/>
      <c r="R50" s="37"/>
      <c r="S50" s="37"/>
    </row>
    <row r="51" spans="1:19" x14ac:dyDescent="0.2">
      <c r="J51" s="32"/>
      <c r="K51" s="32"/>
      <c r="L51" s="32"/>
      <c r="M51" s="32"/>
      <c r="N51" s="30">
        <f>SUM(N2:N50)</f>
        <v>19528.399999999998</v>
      </c>
      <c r="O51" s="29">
        <v>76</v>
      </c>
      <c r="P51" s="32">
        <v>5436</v>
      </c>
      <c r="Q51" s="38"/>
      <c r="R51" s="32"/>
      <c r="S51" s="32"/>
    </row>
    <row r="52" spans="1:19" x14ac:dyDescent="0.2">
      <c r="J52" s="32"/>
      <c r="K52" s="32"/>
      <c r="L52" s="32"/>
      <c r="M52" s="30"/>
      <c r="N52" s="37"/>
      <c r="O52" s="37"/>
      <c r="P52" s="37"/>
      <c r="Q52" s="38"/>
      <c r="R52" s="37"/>
      <c r="S52" s="37"/>
    </row>
    <row r="53" spans="1:19" x14ac:dyDescent="0.2">
      <c r="J53" s="32"/>
      <c r="K53" s="32"/>
      <c r="L53" s="32"/>
      <c r="M53" s="32"/>
      <c r="N53" s="37"/>
      <c r="O53" s="37"/>
      <c r="P53" s="37"/>
      <c r="Q53" s="38"/>
      <c r="R53" s="37"/>
      <c r="S53" s="37"/>
    </row>
    <row r="54" spans="1:19" x14ac:dyDescent="0.2">
      <c r="A54" s="29" t="s">
        <v>142</v>
      </c>
      <c r="B54" s="33" t="s">
        <v>43</v>
      </c>
      <c r="C54" s="30">
        <f t="shared" ref="C54:L54" si="2">C3+C6+C7</f>
        <v>2107</v>
      </c>
      <c r="D54" s="30">
        <f t="shared" si="2"/>
        <v>135</v>
      </c>
      <c r="E54" s="30">
        <f t="shared" si="2"/>
        <v>0</v>
      </c>
      <c r="F54" s="30">
        <f t="shared" si="2"/>
        <v>0</v>
      </c>
      <c r="G54" s="30">
        <f t="shared" si="2"/>
        <v>0</v>
      </c>
      <c r="H54" s="30">
        <f t="shared" si="2"/>
        <v>0</v>
      </c>
      <c r="I54" s="30">
        <f t="shared" si="2"/>
        <v>5</v>
      </c>
      <c r="J54" s="30">
        <f t="shared" si="2"/>
        <v>782</v>
      </c>
      <c r="K54" s="30">
        <f t="shared" si="2"/>
        <v>1133</v>
      </c>
      <c r="L54" s="30">
        <f t="shared" si="2"/>
        <v>1367</v>
      </c>
      <c r="M54" s="30">
        <f>M3+M6+M7</f>
        <v>2107</v>
      </c>
      <c r="N54" s="30">
        <f t="shared" ref="N54:P54" si="3">N3+N6+N7</f>
        <v>2107</v>
      </c>
      <c r="O54" s="30">
        <f t="shared" si="3"/>
        <v>13</v>
      </c>
      <c r="P54" s="30">
        <f t="shared" si="3"/>
        <v>1146</v>
      </c>
      <c r="Q54" s="38"/>
      <c r="R54" s="30"/>
      <c r="S54" s="30"/>
    </row>
    <row r="55" spans="1:19" x14ac:dyDescent="0.2">
      <c r="A55" s="29" t="s">
        <v>151</v>
      </c>
      <c r="B55" s="29" t="s">
        <v>45</v>
      </c>
      <c r="C55" s="30">
        <f t="shared" ref="C55:L55" si="4">C8+C9+C10</f>
        <v>671</v>
      </c>
      <c r="D55" s="30">
        <f t="shared" si="4"/>
        <v>32</v>
      </c>
      <c r="E55" s="30">
        <f t="shared" si="4"/>
        <v>0</v>
      </c>
      <c r="F55" s="30">
        <f t="shared" si="4"/>
        <v>0</v>
      </c>
      <c r="G55" s="30">
        <f t="shared" si="4"/>
        <v>0</v>
      </c>
      <c r="H55" s="30">
        <f t="shared" si="4"/>
        <v>0</v>
      </c>
      <c r="I55" s="30">
        <f t="shared" si="4"/>
        <v>0</v>
      </c>
      <c r="J55" s="30">
        <f t="shared" si="4"/>
        <v>297</v>
      </c>
      <c r="K55" s="30">
        <f t="shared" si="4"/>
        <v>400</v>
      </c>
      <c r="L55" s="30">
        <f t="shared" si="4"/>
        <v>516</v>
      </c>
      <c r="M55" s="30">
        <f>M8+M9+M10</f>
        <v>671</v>
      </c>
      <c r="N55" s="30">
        <f t="shared" ref="N55:P55" si="5">N8+N9+N10</f>
        <v>671</v>
      </c>
      <c r="O55" s="30">
        <f t="shared" si="5"/>
        <v>3</v>
      </c>
      <c r="P55" s="30">
        <f t="shared" si="5"/>
        <v>403</v>
      </c>
      <c r="Q55" s="38"/>
      <c r="R55" s="30"/>
      <c r="S55" s="30"/>
    </row>
    <row r="56" spans="1:19" x14ac:dyDescent="0.2">
      <c r="A56" s="29" t="s">
        <v>153</v>
      </c>
      <c r="B56" s="29" t="s">
        <v>97</v>
      </c>
      <c r="C56" s="30">
        <f t="shared" ref="C56:L56" si="6">C19+C16</f>
        <v>91</v>
      </c>
      <c r="D56" s="30">
        <f t="shared" si="6"/>
        <v>0</v>
      </c>
      <c r="E56" s="30">
        <f t="shared" si="6"/>
        <v>0</v>
      </c>
      <c r="F56" s="30">
        <f t="shared" si="6"/>
        <v>0</v>
      </c>
      <c r="G56" s="30">
        <f t="shared" si="6"/>
        <v>3</v>
      </c>
      <c r="H56" s="30">
        <f t="shared" si="6"/>
        <v>0</v>
      </c>
      <c r="I56" s="30">
        <f t="shared" si="6"/>
        <v>0</v>
      </c>
      <c r="J56" s="30">
        <f t="shared" si="6"/>
        <v>0</v>
      </c>
      <c r="K56" s="30">
        <f t="shared" si="6"/>
        <v>91</v>
      </c>
      <c r="L56" s="30">
        <f t="shared" si="6"/>
        <v>0</v>
      </c>
      <c r="M56" s="30">
        <f>M19+M16</f>
        <v>91</v>
      </c>
      <c r="N56" s="30">
        <f t="shared" ref="N56:P56" si="7">N19+N16</f>
        <v>94</v>
      </c>
      <c r="O56" s="30">
        <f t="shared" si="7"/>
        <v>0</v>
      </c>
      <c r="P56" s="30">
        <f t="shared" si="7"/>
        <v>91</v>
      </c>
      <c r="Q56" s="38"/>
    </row>
    <row r="57" spans="1:19" x14ac:dyDescent="0.2">
      <c r="J57" s="32"/>
      <c r="K57" s="32"/>
      <c r="L57" s="32"/>
      <c r="M57" s="32"/>
      <c r="Q57" s="38"/>
    </row>
    <row r="58" spans="1:19" x14ac:dyDescent="0.2">
      <c r="J58" s="32"/>
      <c r="K58" s="32"/>
      <c r="L58" s="32"/>
      <c r="M58" s="32"/>
      <c r="Q58" s="38"/>
    </row>
    <row r="59" spans="1:19" x14ac:dyDescent="0.2">
      <c r="J59" s="32"/>
      <c r="K59" s="32"/>
      <c r="L59" s="32"/>
      <c r="M59" s="32"/>
      <c r="Q59" s="38"/>
    </row>
    <row r="60" spans="1:19" x14ac:dyDescent="0.2">
      <c r="J60" s="32"/>
      <c r="K60" s="32"/>
      <c r="L60" s="32"/>
      <c r="M60" s="32"/>
      <c r="Q60" s="38"/>
    </row>
    <row r="61" spans="1:19" x14ac:dyDescent="0.2">
      <c r="J61" s="32"/>
      <c r="K61" s="32"/>
      <c r="L61" s="32"/>
      <c r="M61" s="32"/>
      <c r="Q61" s="38"/>
    </row>
    <row r="62" spans="1:19" x14ac:dyDescent="0.2">
      <c r="J62" s="32"/>
      <c r="K62" s="32"/>
      <c r="L62" s="32"/>
      <c r="M62" s="32"/>
      <c r="Q62" s="38"/>
    </row>
    <row r="63" spans="1:19" x14ac:dyDescent="0.2">
      <c r="J63" s="32"/>
      <c r="K63" s="32"/>
      <c r="L63" s="32"/>
      <c r="M63" s="32"/>
      <c r="Q63" s="38"/>
    </row>
    <row r="64" spans="1:19" x14ac:dyDescent="0.2">
      <c r="J64" s="32"/>
      <c r="K64" s="32"/>
      <c r="L64" s="32"/>
      <c r="M64" s="32"/>
      <c r="Q64" s="38"/>
    </row>
    <row r="65" spans="10:17" x14ac:dyDescent="0.2">
      <c r="J65" s="32"/>
      <c r="K65" s="32"/>
      <c r="L65" s="32"/>
      <c r="M65" s="32"/>
      <c r="Q65" s="38"/>
    </row>
    <row r="66" spans="10:17" x14ac:dyDescent="0.2">
      <c r="J66" s="32"/>
      <c r="K66" s="32"/>
      <c r="L66" s="32"/>
      <c r="M66" s="32"/>
      <c r="Q66" s="38"/>
    </row>
    <row r="67" spans="10:17" x14ac:dyDescent="0.2">
      <c r="J67" s="32"/>
      <c r="K67" s="32"/>
      <c r="L67" s="32"/>
      <c r="M67" s="32"/>
      <c r="Q67" s="38"/>
    </row>
    <row r="68" spans="10:17" x14ac:dyDescent="0.2">
      <c r="J68" s="32"/>
      <c r="K68" s="32"/>
      <c r="L68" s="32"/>
      <c r="M68" s="32"/>
      <c r="Q68" s="38"/>
    </row>
    <row r="69" spans="10:17" x14ac:dyDescent="0.2">
      <c r="J69" s="32"/>
      <c r="K69" s="32"/>
      <c r="L69" s="32"/>
      <c r="M69" s="32"/>
      <c r="Q69" s="38"/>
    </row>
    <row r="70" spans="10:17" x14ac:dyDescent="0.2">
      <c r="J70" s="32"/>
      <c r="K70" s="32"/>
      <c r="L70" s="32"/>
      <c r="M70" s="32"/>
      <c r="Q70" s="38"/>
    </row>
    <row r="71" spans="10:17" x14ac:dyDescent="0.2">
      <c r="J71" s="32"/>
      <c r="K71" s="32"/>
      <c r="L71" s="32"/>
      <c r="M71" s="32"/>
      <c r="Q71" s="38"/>
    </row>
    <row r="72" spans="10:17" x14ac:dyDescent="0.2">
      <c r="J72" s="32"/>
      <c r="K72" s="32"/>
      <c r="L72" s="32"/>
      <c r="M72" s="32"/>
      <c r="Q72" s="38"/>
    </row>
    <row r="73" spans="10:17" x14ac:dyDescent="0.2">
      <c r="J73" s="32"/>
      <c r="K73" s="32"/>
      <c r="L73" s="32"/>
      <c r="M73" s="32"/>
      <c r="Q73" s="38"/>
    </row>
    <row r="74" spans="10:17" x14ac:dyDescent="0.2">
      <c r="J74" s="32"/>
      <c r="K74" s="32"/>
      <c r="L74" s="32"/>
      <c r="M74" s="32"/>
      <c r="Q74" s="38"/>
    </row>
    <row r="75" spans="10:17" x14ac:dyDescent="0.2">
      <c r="J75" s="32"/>
      <c r="K75" s="32"/>
      <c r="L75" s="32"/>
      <c r="M75" s="32"/>
      <c r="Q75" s="38"/>
    </row>
    <row r="76" spans="10:17" x14ac:dyDescent="0.2">
      <c r="J76" s="32"/>
      <c r="K76" s="32"/>
      <c r="L76" s="32"/>
      <c r="M76" s="32"/>
      <c r="Q76" s="38"/>
    </row>
    <row r="77" spans="10:17" x14ac:dyDescent="0.2">
      <c r="J77" s="32"/>
      <c r="K77" s="32"/>
      <c r="L77" s="32"/>
      <c r="M77" s="32"/>
      <c r="Q77" s="38"/>
    </row>
    <row r="78" spans="10:17" x14ac:dyDescent="0.2">
      <c r="J78" s="32"/>
      <c r="K78" s="32"/>
      <c r="L78" s="32"/>
      <c r="M78" s="32"/>
      <c r="Q78" s="38"/>
    </row>
    <row r="79" spans="10:17" x14ac:dyDescent="0.2">
      <c r="J79" s="32"/>
      <c r="K79" s="32"/>
      <c r="L79" s="32"/>
      <c r="M79" s="32"/>
      <c r="Q79" s="38"/>
    </row>
    <row r="80" spans="10:17" x14ac:dyDescent="0.2">
      <c r="J80" s="32"/>
      <c r="K80" s="32"/>
      <c r="L80" s="32"/>
      <c r="M80" s="32"/>
      <c r="Q80" s="38"/>
    </row>
    <row r="81" spans="10:17" x14ac:dyDescent="0.2">
      <c r="J81" s="32"/>
      <c r="K81" s="32"/>
      <c r="L81" s="32"/>
      <c r="M81" s="32"/>
      <c r="Q81" s="38"/>
    </row>
    <row r="82" spans="10:17" x14ac:dyDescent="0.2">
      <c r="J82" s="32"/>
      <c r="K82" s="32"/>
      <c r="L82" s="32"/>
      <c r="M82" s="32"/>
      <c r="Q82" s="38"/>
    </row>
    <row r="83" spans="10:17" x14ac:dyDescent="0.2">
      <c r="J83" s="32"/>
      <c r="K83" s="32"/>
      <c r="L83" s="32"/>
      <c r="M83" s="32"/>
      <c r="Q83" s="38"/>
    </row>
    <row r="84" spans="10:17" x14ac:dyDescent="0.2">
      <c r="J84" s="32"/>
      <c r="K84" s="32"/>
      <c r="L84" s="32"/>
      <c r="M84" s="32"/>
      <c r="Q84" s="38"/>
    </row>
    <row r="85" spans="10:17" x14ac:dyDescent="0.2">
      <c r="J85" s="32"/>
      <c r="K85" s="32"/>
      <c r="L85" s="32"/>
      <c r="M85" s="32"/>
      <c r="Q85" s="38"/>
    </row>
    <row r="86" spans="10:17" x14ac:dyDescent="0.2">
      <c r="J86" s="32"/>
      <c r="K86" s="32"/>
      <c r="L86" s="32"/>
      <c r="M86" s="32"/>
      <c r="Q86" s="38"/>
    </row>
    <row r="87" spans="10:17" x14ac:dyDescent="0.2">
      <c r="J87" s="32"/>
      <c r="K87" s="32"/>
      <c r="L87" s="32"/>
      <c r="M87" s="32"/>
      <c r="Q87" s="38"/>
    </row>
    <row r="88" spans="10:17" x14ac:dyDescent="0.2">
      <c r="J88" s="32"/>
      <c r="K88" s="32"/>
      <c r="L88" s="32"/>
      <c r="M88" s="32"/>
      <c r="Q88" s="38"/>
    </row>
    <row r="89" spans="10:17" x14ac:dyDescent="0.2">
      <c r="J89" s="32"/>
      <c r="K89" s="32"/>
      <c r="L89" s="32"/>
      <c r="M89" s="32"/>
      <c r="Q89" s="38"/>
    </row>
    <row r="90" spans="10:17" x14ac:dyDescent="0.2">
      <c r="J90" s="32"/>
      <c r="K90" s="32"/>
      <c r="L90" s="32"/>
      <c r="M90" s="32"/>
      <c r="Q90" s="38"/>
    </row>
    <row r="91" spans="10:17" x14ac:dyDescent="0.2">
      <c r="J91" s="32"/>
      <c r="K91" s="32"/>
      <c r="L91" s="32"/>
      <c r="M91" s="32"/>
      <c r="Q91" s="38"/>
    </row>
    <row r="92" spans="10:17" x14ac:dyDescent="0.2">
      <c r="J92" s="32"/>
      <c r="K92" s="32"/>
      <c r="L92" s="32"/>
      <c r="M92" s="32"/>
      <c r="Q92" s="38"/>
    </row>
    <row r="93" spans="10:17" x14ac:dyDescent="0.2">
      <c r="J93" s="32"/>
      <c r="K93" s="32"/>
      <c r="L93" s="32"/>
      <c r="M93" s="32"/>
      <c r="Q93" s="38"/>
    </row>
    <row r="94" spans="10:17" x14ac:dyDescent="0.2">
      <c r="J94" s="32"/>
      <c r="K94" s="32"/>
      <c r="L94" s="32"/>
      <c r="M94" s="32"/>
      <c r="Q94" s="38"/>
    </row>
    <row r="95" spans="10:17" x14ac:dyDescent="0.2">
      <c r="J95" s="32"/>
      <c r="K95" s="32"/>
      <c r="L95" s="32"/>
      <c r="M95" s="32"/>
      <c r="Q95" s="38"/>
    </row>
    <row r="96" spans="10:17" x14ac:dyDescent="0.2">
      <c r="J96" s="32"/>
      <c r="K96" s="32"/>
      <c r="L96" s="32"/>
      <c r="M96" s="32"/>
      <c r="Q96" s="38"/>
    </row>
    <row r="97" spans="10:17" x14ac:dyDescent="0.2">
      <c r="J97" s="32"/>
      <c r="K97" s="32"/>
      <c r="L97" s="32"/>
      <c r="M97" s="32"/>
      <c r="Q97" s="38"/>
    </row>
    <row r="98" spans="10:17" x14ac:dyDescent="0.2">
      <c r="J98" s="32"/>
      <c r="K98" s="32"/>
      <c r="L98" s="32"/>
      <c r="M98" s="32"/>
      <c r="Q98" s="38"/>
    </row>
    <row r="99" spans="10:17" x14ac:dyDescent="0.2">
      <c r="J99" s="32"/>
      <c r="K99" s="32"/>
      <c r="L99" s="32"/>
      <c r="M99" s="32"/>
      <c r="Q99" s="38"/>
    </row>
    <row r="100" spans="10:17" x14ac:dyDescent="0.2">
      <c r="J100" s="32"/>
      <c r="K100" s="32"/>
      <c r="L100" s="32"/>
      <c r="M100" s="32"/>
      <c r="Q100" s="38"/>
    </row>
    <row r="101" spans="10:17" x14ac:dyDescent="0.2">
      <c r="J101" s="32"/>
      <c r="K101" s="32"/>
      <c r="L101" s="32"/>
      <c r="M101" s="32"/>
      <c r="Q101" s="38"/>
    </row>
    <row r="102" spans="10:17" x14ac:dyDescent="0.2">
      <c r="J102" s="32"/>
      <c r="K102" s="32"/>
      <c r="L102" s="32"/>
      <c r="M102" s="32"/>
      <c r="Q102" s="38"/>
    </row>
    <row r="103" spans="10:17" x14ac:dyDescent="0.2">
      <c r="J103" s="32"/>
      <c r="K103" s="32"/>
      <c r="L103" s="32"/>
      <c r="M103" s="32"/>
      <c r="Q103" s="38"/>
    </row>
    <row r="104" spans="10:17" x14ac:dyDescent="0.2">
      <c r="J104" s="32"/>
      <c r="K104" s="32"/>
      <c r="L104" s="32"/>
      <c r="M104" s="32"/>
      <c r="Q104" s="38"/>
    </row>
    <row r="105" spans="10:17" x14ac:dyDescent="0.2">
      <c r="J105" s="32"/>
      <c r="K105" s="32"/>
      <c r="L105" s="32"/>
      <c r="M105" s="32"/>
      <c r="Q105" s="38"/>
    </row>
    <row r="106" spans="10:17" x14ac:dyDescent="0.2">
      <c r="J106" s="32"/>
      <c r="K106" s="32"/>
      <c r="L106" s="32"/>
      <c r="M106" s="32"/>
      <c r="Q106" s="38"/>
    </row>
    <row r="107" spans="10:17" x14ac:dyDescent="0.2">
      <c r="J107" s="32"/>
      <c r="K107" s="32"/>
      <c r="L107" s="32"/>
      <c r="M107" s="32"/>
      <c r="Q107" s="38"/>
    </row>
    <row r="108" spans="10:17" x14ac:dyDescent="0.2">
      <c r="J108" s="32"/>
      <c r="K108" s="32"/>
      <c r="L108" s="32"/>
      <c r="M108" s="32"/>
      <c r="Q108" s="38"/>
    </row>
    <row r="109" spans="10:17" x14ac:dyDescent="0.2">
      <c r="J109" s="32"/>
      <c r="K109" s="32"/>
      <c r="L109" s="32"/>
      <c r="M109" s="32"/>
      <c r="Q109" s="38"/>
    </row>
    <row r="110" spans="10:17" x14ac:dyDescent="0.2">
      <c r="J110" s="32"/>
      <c r="K110" s="32"/>
      <c r="L110" s="32"/>
      <c r="M110" s="32"/>
      <c r="Q110" s="38"/>
    </row>
    <row r="111" spans="10:17" x14ac:dyDescent="0.2">
      <c r="J111" s="32"/>
      <c r="K111" s="32"/>
      <c r="L111" s="32"/>
      <c r="M111" s="32"/>
      <c r="Q111" s="38"/>
    </row>
    <row r="112" spans="10:17" x14ac:dyDescent="0.2">
      <c r="J112" s="32"/>
      <c r="K112" s="32"/>
      <c r="L112" s="32"/>
      <c r="M112" s="32"/>
      <c r="Q112" s="38"/>
    </row>
    <row r="113" spans="10:17" x14ac:dyDescent="0.2">
      <c r="J113" s="32"/>
      <c r="K113" s="32"/>
      <c r="L113" s="32"/>
      <c r="M113" s="32"/>
      <c r="Q113" s="38"/>
    </row>
    <row r="114" spans="10:17" x14ac:dyDescent="0.2">
      <c r="J114" s="32"/>
      <c r="K114" s="32"/>
      <c r="L114" s="32"/>
      <c r="M114" s="32"/>
      <c r="Q114" s="38"/>
    </row>
    <row r="115" spans="10:17" x14ac:dyDescent="0.2">
      <c r="J115" s="32"/>
      <c r="K115" s="32"/>
      <c r="L115" s="32"/>
      <c r="M115" s="32"/>
      <c r="Q115" s="38"/>
    </row>
    <row r="116" spans="10:17" x14ac:dyDescent="0.2">
      <c r="J116" s="32"/>
      <c r="K116" s="32"/>
      <c r="L116" s="32"/>
      <c r="M116" s="32"/>
      <c r="Q116" s="38"/>
    </row>
    <row r="117" spans="10:17" x14ac:dyDescent="0.2">
      <c r="J117" s="32"/>
      <c r="K117" s="32"/>
      <c r="L117" s="32"/>
      <c r="M117" s="32"/>
      <c r="Q117" s="38"/>
    </row>
    <row r="118" spans="10:17" x14ac:dyDescent="0.2">
      <c r="J118" s="32"/>
      <c r="K118" s="32"/>
      <c r="L118" s="32"/>
      <c r="M118" s="32"/>
      <c r="Q118" s="38"/>
    </row>
    <row r="119" spans="10:17" x14ac:dyDescent="0.2">
      <c r="J119" s="32"/>
      <c r="K119" s="32"/>
      <c r="L119" s="32"/>
      <c r="M119" s="32"/>
      <c r="Q119" s="38"/>
    </row>
    <row r="120" spans="10:17" x14ac:dyDescent="0.2">
      <c r="J120" s="32"/>
      <c r="K120" s="32"/>
      <c r="L120" s="32"/>
      <c r="M120" s="32"/>
      <c r="Q120" s="38"/>
    </row>
    <row r="121" spans="10:17" x14ac:dyDescent="0.2">
      <c r="J121" s="32"/>
      <c r="K121" s="32"/>
      <c r="L121" s="32"/>
      <c r="M121" s="32"/>
      <c r="Q121" s="38"/>
    </row>
    <row r="122" spans="10:17" x14ac:dyDescent="0.2">
      <c r="J122" s="32"/>
      <c r="K122" s="32"/>
      <c r="L122" s="32"/>
      <c r="M122" s="32"/>
      <c r="Q122" s="38"/>
    </row>
    <row r="123" spans="10:17" x14ac:dyDescent="0.2">
      <c r="J123" s="32"/>
      <c r="K123" s="32"/>
      <c r="L123" s="32"/>
      <c r="M123" s="32"/>
      <c r="Q123" s="38"/>
    </row>
    <row r="124" spans="10:17" x14ac:dyDescent="0.2">
      <c r="J124" s="32"/>
      <c r="K124" s="32"/>
      <c r="L124" s="32"/>
      <c r="M124" s="32"/>
      <c r="Q124" s="38"/>
    </row>
    <row r="125" spans="10:17" x14ac:dyDescent="0.2">
      <c r="J125" s="32"/>
      <c r="K125" s="32"/>
      <c r="L125" s="32"/>
      <c r="M125" s="32"/>
      <c r="Q125" s="38"/>
    </row>
    <row r="126" spans="10:17" x14ac:dyDescent="0.2">
      <c r="J126" s="32"/>
      <c r="K126" s="32"/>
      <c r="L126" s="32"/>
      <c r="M126" s="32"/>
      <c r="Q126" s="38"/>
    </row>
    <row r="127" spans="10:17" x14ac:dyDescent="0.2">
      <c r="J127" s="32"/>
      <c r="K127" s="32"/>
      <c r="L127" s="32"/>
      <c r="M127" s="32"/>
      <c r="Q127" s="38"/>
    </row>
    <row r="128" spans="10:17" x14ac:dyDescent="0.2">
      <c r="J128" s="32"/>
      <c r="K128" s="32"/>
      <c r="L128" s="32"/>
      <c r="M128" s="32"/>
      <c r="Q128" s="38"/>
    </row>
    <row r="129" spans="10:17" x14ac:dyDescent="0.2">
      <c r="J129" s="32"/>
      <c r="K129" s="32"/>
      <c r="L129" s="32"/>
      <c r="M129" s="32"/>
      <c r="Q129" s="38"/>
    </row>
    <row r="130" spans="10:17" x14ac:dyDescent="0.2">
      <c r="J130" s="32"/>
      <c r="K130" s="32"/>
      <c r="L130" s="32"/>
      <c r="M130" s="32"/>
      <c r="Q130" s="38"/>
    </row>
    <row r="131" spans="10:17" x14ac:dyDescent="0.2">
      <c r="J131" s="32"/>
      <c r="K131" s="32"/>
      <c r="L131" s="32"/>
      <c r="M131" s="32"/>
      <c r="Q131" s="38"/>
    </row>
    <row r="132" spans="10:17" x14ac:dyDescent="0.2">
      <c r="J132" s="32"/>
      <c r="K132" s="32"/>
      <c r="L132" s="32"/>
      <c r="M132" s="32"/>
      <c r="Q132" s="38"/>
    </row>
    <row r="133" spans="10:17" x14ac:dyDescent="0.2">
      <c r="J133" s="32"/>
      <c r="K133" s="32"/>
      <c r="L133" s="32"/>
      <c r="M133" s="32"/>
      <c r="Q133" s="38"/>
    </row>
    <row r="134" spans="10:17" x14ac:dyDescent="0.2">
      <c r="J134" s="32"/>
      <c r="K134" s="32"/>
      <c r="L134" s="32"/>
      <c r="M134" s="32"/>
      <c r="Q134" s="38"/>
    </row>
    <row r="135" spans="10:17" x14ac:dyDescent="0.2">
      <c r="J135" s="32"/>
      <c r="K135" s="32"/>
      <c r="L135" s="32"/>
      <c r="M135" s="32"/>
      <c r="Q135" s="38"/>
    </row>
    <row r="136" spans="10:17" x14ac:dyDescent="0.2">
      <c r="J136" s="32"/>
      <c r="K136" s="32"/>
      <c r="L136" s="32"/>
      <c r="M136" s="32"/>
      <c r="Q136" s="38"/>
    </row>
    <row r="137" spans="10:17" x14ac:dyDescent="0.2">
      <c r="J137" s="32"/>
      <c r="K137" s="32"/>
      <c r="L137" s="32"/>
      <c r="M137" s="32"/>
      <c r="Q137" s="38"/>
    </row>
    <row r="138" spans="10:17" x14ac:dyDescent="0.2">
      <c r="J138" s="32"/>
      <c r="K138" s="32"/>
      <c r="L138" s="32"/>
      <c r="M138" s="32"/>
      <c r="Q138" s="38"/>
    </row>
    <row r="139" spans="10:17" x14ac:dyDescent="0.2">
      <c r="J139" s="32"/>
      <c r="K139" s="32"/>
      <c r="L139" s="32"/>
      <c r="M139" s="32"/>
      <c r="Q139" s="38"/>
    </row>
    <row r="140" spans="10:17" x14ac:dyDescent="0.2">
      <c r="J140" s="32"/>
      <c r="K140" s="32"/>
      <c r="L140" s="32"/>
      <c r="M140" s="32"/>
      <c r="Q140" s="38"/>
    </row>
    <row r="141" spans="10:17" x14ac:dyDescent="0.2">
      <c r="J141" s="32"/>
      <c r="K141" s="32"/>
      <c r="L141" s="32"/>
      <c r="M141" s="32"/>
      <c r="Q141" s="38"/>
    </row>
    <row r="142" spans="10:17" x14ac:dyDescent="0.2">
      <c r="J142" s="32"/>
      <c r="K142" s="32"/>
      <c r="L142" s="32"/>
      <c r="M142" s="32"/>
      <c r="Q142" s="38"/>
    </row>
    <row r="143" spans="10:17" x14ac:dyDescent="0.2">
      <c r="J143" s="32"/>
      <c r="K143" s="32"/>
      <c r="L143" s="32"/>
      <c r="M143" s="32"/>
      <c r="Q143" s="38"/>
    </row>
    <row r="144" spans="10:17" x14ac:dyDescent="0.2">
      <c r="J144" s="32"/>
      <c r="K144" s="32"/>
      <c r="L144" s="32"/>
      <c r="M144" s="32"/>
      <c r="Q144" s="38"/>
    </row>
    <row r="145" spans="10:17" x14ac:dyDescent="0.2">
      <c r="J145" s="32"/>
      <c r="K145" s="32"/>
      <c r="L145" s="32"/>
      <c r="M145" s="32"/>
      <c r="Q145" s="38"/>
    </row>
    <row r="146" spans="10:17" x14ac:dyDescent="0.2">
      <c r="J146" s="32"/>
      <c r="K146" s="32"/>
      <c r="L146" s="32"/>
      <c r="M146" s="32"/>
      <c r="Q146" s="38"/>
    </row>
    <row r="147" spans="10:17" x14ac:dyDescent="0.2">
      <c r="J147" s="32"/>
      <c r="K147" s="32"/>
      <c r="L147" s="32"/>
      <c r="M147" s="32"/>
      <c r="Q147" s="38"/>
    </row>
    <row r="148" spans="10:17" x14ac:dyDescent="0.2">
      <c r="J148" s="32"/>
      <c r="K148" s="32"/>
      <c r="L148" s="32"/>
      <c r="M148" s="32"/>
      <c r="Q148" s="38"/>
    </row>
    <row r="149" spans="10:17" x14ac:dyDescent="0.2">
      <c r="J149" s="32"/>
      <c r="K149" s="32"/>
      <c r="L149" s="32"/>
      <c r="M149" s="32"/>
      <c r="Q149" s="38"/>
    </row>
    <row r="150" spans="10:17" x14ac:dyDescent="0.2">
      <c r="J150" s="32"/>
      <c r="K150" s="32"/>
      <c r="L150" s="32"/>
      <c r="M150" s="32"/>
      <c r="Q150" s="38"/>
    </row>
    <row r="151" spans="10:17" x14ac:dyDescent="0.2">
      <c r="J151" s="32"/>
      <c r="K151" s="32"/>
      <c r="L151" s="32"/>
      <c r="M151" s="32"/>
      <c r="Q151" s="38"/>
    </row>
    <row r="152" spans="10:17" x14ac:dyDescent="0.2">
      <c r="J152" s="32"/>
      <c r="K152" s="32"/>
      <c r="L152" s="32"/>
      <c r="M152" s="32"/>
      <c r="Q152" s="38"/>
    </row>
    <row r="153" spans="10:17" x14ac:dyDescent="0.2">
      <c r="J153" s="32"/>
      <c r="K153" s="32"/>
      <c r="L153" s="32"/>
      <c r="M153" s="32"/>
      <c r="Q153" s="38"/>
    </row>
    <row r="154" spans="10:17" x14ac:dyDescent="0.2">
      <c r="J154" s="32"/>
      <c r="K154" s="32"/>
      <c r="L154" s="32"/>
      <c r="M154" s="32"/>
      <c r="Q154" s="38"/>
    </row>
    <row r="155" spans="10:17" x14ac:dyDescent="0.2">
      <c r="J155" s="32"/>
      <c r="K155" s="32"/>
      <c r="L155" s="32"/>
      <c r="M155" s="32"/>
      <c r="Q155" s="38"/>
    </row>
    <row r="156" spans="10:17" x14ac:dyDescent="0.2">
      <c r="J156" s="32"/>
      <c r="K156" s="32"/>
      <c r="L156" s="32"/>
      <c r="M156" s="32"/>
      <c r="Q156" s="38"/>
    </row>
    <row r="157" spans="10:17" x14ac:dyDescent="0.2">
      <c r="J157" s="32"/>
      <c r="K157" s="32"/>
      <c r="L157" s="32"/>
      <c r="M157" s="32"/>
      <c r="Q157" s="38"/>
    </row>
    <row r="158" spans="10:17" x14ac:dyDescent="0.2">
      <c r="J158" s="32"/>
      <c r="K158" s="32"/>
      <c r="L158" s="32"/>
      <c r="M158" s="32"/>
      <c r="Q158" s="38"/>
    </row>
    <row r="159" spans="10:17" x14ac:dyDescent="0.2">
      <c r="J159" s="32"/>
      <c r="K159" s="32"/>
      <c r="L159" s="32"/>
      <c r="M159" s="32"/>
      <c r="Q159" s="38"/>
    </row>
    <row r="160" spans="10:17" x14ac:dyDescent="0.2">
      <c r="J160" s="32"/>
      <c r="K160" s="32"/>
      <c r="L160" s="32"/>
      <c r="M160" s="32"/>
      <c r="Q160" s="38"/>
    </row>
    <row r="161" spans="10:17" x14ac:dyDescent="0.2">
      <c r="J161" s="32"/>
      <c r="K161" s="32"/>
      <c r="L161" s="32"/>
      <c r="M161" s="32"/>
      <c r="Q161" s="38"/>
    </row>
    <row r="162" spans="10:17" x14ac:dyDescent="0.2">
      <c r="J162" s="32"/>
      <c r="K162" s="32"/>
      <c r="L162" s="32"/>
      <c r="M162" s="32"/>
      <c r="Q162" s="38"/>
    </row>
    <row r="163" spans="10:17" x14ac:dyDescent="0.2">
      <c r="J163" s="32"/>
      <c r="K163" s="32"/>
      <c r="L163" s="32"/>
      <c r="M163" s="32"/>
      <c r="Q163" s="38"/>
    </row>
    <row r="164" spans="10:17" x14ac:dyDescent="0.2">
      <c r="J164" s="32"/>
      <c r="K164" s="32"/>
      <c r="L164" s="32"/>
      <c r="M164" s="32"/>
      <c r="Q164" s="38"/>
    </row>
    <row r="165" spans="10:17" x14ac:dyDescent="0.2">
      <c r="J165" s="32"/>
      <c r="K165" s="32"/>
      <c r="L165" s="32"/>
      <c r="M165" s="32"/>
      <c r="Q165" s="38"/>
    </row>
    <row r="166" spans="10:17" x14ac:dyDescent="0.2">
      <c r="J166" s="32"/>
      <c r="K166" s="32"/>
      <c r="L166" s="32"/>
      <c r="M166" s="32"/>
      <c r="Q166" s="38"/>
    </row>
    <row r="167" spans="10:17" x14ac:dyDescent="0.2">
      <c r="J167" s="32"/>
      <c r="K167" s="32"/>
      <c r="L167" s="32"/>
      <c r="M167" s="32"/>
      <c r="Q167" s="38"/>
    </row>
    <row r="168" spans="10:17" x14ac:dyDescent="0.2">
      <c r="J168" s="32"/>
      <c r="K168" s="32"/>
      <c r="L168" s="32"/>
      <c r="M168" s="32"/>
      <c r="Q168" s="38"/>
    </row>
    <row r="169" spans="10:17" x14ac:dyDescent="0.2">
      <c r="J169" s="32"/>
      <c r="K169" s="32"/>
      <c r="L169" s="32"/>
      <c r="M169" s="32"/>
      <c r="Q169" s="38"/>
    </row>
    <row r="170" spans="10:17" x14ac:dyDescent="0.2">
      <c r="J170" s="32"/>
      <c r="K170" s="32"/>
      <c r="L170" s="32"/>
      <c r="M170" s="32"/>
      <c r="Q170" s="38"/>
    </row>
    <row r="171" spans="10:17" x14ac:dyDescent="0.2">
      <c r="J171" s="32"/>
      <c r="K171" s="32"/>
      <c r="L171" s="32"/>
      <c r="M171" s="32"/>
      <c r="Q171" s="38"/>
    </row>
    <row r="172" spans="10:17" x14ac:dyDescent="0.2">
      <c r="J172" s="32"/>
      <c r="K172" s="32"/>
      <c r="L172" s="32"/>
      <c r="M172" s="32"/>
      <c r="Q172" s="38"/>
    </row>
    <row r="173" spans="10:17" x14ac:dyDescent="0.2">
      <c r="J173" s="32"/>
      <c r="K173" s="32"/>
      <c r="L173" s="32"/>
      <c r="M173" s="32"/>
      <c r="Q173" s="38"/>
    </row>
    <row r="174" spans="10:17" x14ac:dyDescent="0.2">
      <c r="J174" s="32"/>
      <c r="K174" s="32"/>
      <c r="L174" s="32"/>
      <c r="M174" s="32"/>
      <c r="Q174" s="38"/>
    </row>
    <row r="175" spans="10:17" x14ac:dyDescent="0.2">
      <c r="J175" s="32"/>
      <c r="K175" s="32"/>
      <c r="L175" s="32"/>
      <c r="M175" s="32"/>
      <c r="Q175" s="38"/>
    </row>
    <row r="176" spans="10:17" x14ac:dyDescent="0.2">
      <c r="J176" s="32"/>
      <c r="K176" s="32"/>
      <c r="L176" s="32"/>
      <c r="M176" s="32"/>
      <c r="Q176" s="38"/>
    </row>
    <row r="177" spans="10:17" x14ac:dyDescent="0.2">
      <c r="J177" s="32"/>
      <c r="K177" s="32"/>
      <c r="L177" s="32"/>
      <c r="M177" s="32"/>
      <c r="Q177" s="38"/>
    </row>
    <row r="178" spans="10:17" x14ac:dyDescent="0.2">
      <c r="J178" s="32"/>
      <c r="K178" s="32"/>
      <c r="L178" s="32"/>
      <c r="M178" s="32"/>
      <c r="Q178" s="38"/>
    </row>
    <row r="179" spans="10:17" x14ac:dyDescent="0.2">
      <c r="J179" s="32"/>
      <c r="K179" s="32"/>
      <c r="L179" s="32"/>
      <c r="M179" s="32"/>
      <c r="Q179" s="38"/>
    </row>
    <row r="180" spans="10:17" x14ac:dyDescent="0.2">
      <c r="J180" s="32"/>
      <c r="K180" s="32"/>
      <c r="L180" s="32"/>
      <c r="M180" s="32"/>
      <c r="Q180" s="38"/>
    </row>
    <row r="181" spans="10:17" x14ac:dyDescent="0.2">
      <c r="J181" s="32"/>
      <c r="K181" s="32"/>
      <c r="L181" s="32"/>
      <c r="M181" s="32"/>
      <c r="Q181" s="38"/>
    </row>
    <row r="182" spans="10:17" x14ac:dyDescent="0.2">
      <c r="J182" s="32"/>
      <c r="K182" s="32"/>
      <c r="L182" s="32"/>
      <c r="M182" s="32"/>
      <c r="Q182" s="38"/>
    </row>
    <row r="183" spans="10:17" x14ac:dyDescent="0.2">
      <c r="J183" s="32"/>
      <c r="K183" s="32"/>
      <c r="L183" s="32"/>
      <c r="M183" s="32"/>
      <c r="Q183" s="38"/>
    </row>
    <row r="184" spans="10:17" x14ac:dyDescent="0.2">
      <c r="J184" s="32"/>
      <c r="K184" s="32"/>
      <c r="L184" s="32"/>
      <c r="M184" s="32"/>
      <c r="Q184" s="38"/>
    </row>
    <row r="185" spans="10:17" x14ac:dyDescent="0.2">
      <c r="J185" s="32"/>
      <c r="K185" s="32"/>
      <c r="L185" s="32"/>
      <c r="M185" s="32"/>
      <c r="Q185" s="38"/>
    </row>
    <row r="186" spans="10:17" x14ac:dyDescent="0.2">
      <c r="J186" s="32"/>
      <c r="K186" s="32"/>
      <c r="L186" s="32"/>
      <c r="M186" s="32"/>
      <c r="Q186" s="38"/>
    </row>
    <row r="187" spans="10:17" x14ac:dyDescent="0.2">
      <c r="J187" s="32"/>
      <c r="K187" s="32"/>
      <c r="L187" s="32"/>
      <c r="M187" s="32"/>
      <c r="Q187" s="38"/>
    </row>
    <row r="188" spans="10:17" x14ac:dyDescent="0.2">
      <c r="J188" s="32"/>
      <c r="K188" s="32"/>
      <c r="L188" s="32"/>
      <c r="M188" s="32"/>
      <c r="Q188" s="38"/>
    </row>
    <row r="189" spans="10:17" x14ac:dyDescent="0.2">
      <c r="J189" s="32"/>
      <c r="K189" s="32"/>
      <c r="L189" s="32"/>
      <c r="M189" s="32"/>
      <c r="Q189" s="38"/>
    </row>
    <row r="190" spans="10:17" x14ac:dyDescent="0.2">
      <c r="J190" s="32"/>
      <c r="K190" s="32"/>
      <c r="L190" s="32"/>
      <c r="M190" s="32"/>
      <c r="Q190" s="38"/>
    </row>
    <row r="191" spans="10:17" x14ac:dyDescent="0.2">
      <c r="J191" s="32"/>
      <c r="K191" s="32"/>
      <c r="L191" s="32"/>
      <c r="M191" s="32"/>
      <c r="Q191" s="38"/>
    </row>
    <row r="192" spans="10:17" x14ac:dyDescent="0.2">
      <c r="J192" s="32"/>
      <c r="K192" s="32"/>
      <c r="L192" s="32"/>
      <c r="M192" s="32"/>
      <c r="Q192" s="38"/>
    </row>
    <row r="193" spans="10:17" x14ac:dyDescent="0.2">
      <c r="J193" s="32"/>
      <c r="K193" s="32"/>
      <c r="L193" s="32"/>
      <c r="M193" s="32"/>
      <c r="Q193" s="38"/>
    </row>
  </sheetData>
  <phoneticPr fontId="1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</vt:lpstr>
      <vt:lpstr>Entitlement to Date</vt:lpstr>
      <vt:lpstr>CSI Admin to Date</vt:lpstr>
      <vt:lpstr>CSI Counts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Tim Kahle</cp:lastModifiedBy>
  <cp:lastPrinted>2021-05-13T19:37:49Z</cp:lastPrinted>
  <dcterms:created xsi:type="dcterms:W3CDTF">2012-01-04T22:28:18Z</dcterms:created>
  <dcterms:modified xsi:type="dcterms:W3CDTF">2021-06-15T19:56:50Z</dcterms:modified>
</cp:coreProperties>
</file>