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J:\PAYMENTS\PSFA23\Charter Intercept\"/>
    </mc:Choice>
  </mc:AlternateContent>
  <xr:revisionPtr revIDLastSave="0" documentId="13_ncr:1_{AA1D1FA6-F776-4076-A966-B1DB49A640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yment summary2" sheetId="1" r:id="rId1"/>
  </sheets>
  <definedNames>
    <definedName name="_Fill" hidden="1">#REF!</definedName>
    <definedName name="_xlnm.Print_Area" localSheetId="0">'payment summary2'!#REF!</definedName>
    <definedName name="_xlnm.Print_Titles" localSheetId="0">'payment summary2'!$A:$C,'payment summary2'!$1:$3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937" i="1" l="1"/>
  <c r="AC937" i="1"/>
  <c r="AB937" i="1"/>
  <c r="AA937" i="1"/>
  <c r="Z937" i="1"/>
  <c r="Y937" i="1"/>
  <c r="X937" i="1"/>
  <c r="W937" i="1"/>
  <c r="V937" i="1"/>
  <c r="U937" i="1"/>
  <c r="T937" i="1"/>
  <c r="AD936" i="1"/>
  <c r="AC936" i="1"/>
  <c r="AB936" i="1"/>
  <c r="AA936" i="1"/>
  <c r="Z936" i="1"/>
  <c r="Y936" i="1"/>
  <c r="X936" i="1"/>
  <c r="W936" i="1"/>
  <c r="V936" i="1"/>
  <c r="U936" i="1"/>
  <c r="T936" i="1"/>
  <c r="S936" i="1"/>
  <c r="AD932" i="1"/>
  <c r="AC932" i="1"/>
  <c r="AB932" i="1"/>
  <c r="AA932" i="1"/>
  <c r="Z932" i="1"/>
  <c r="Y932" i="1"/>
  <c r="X932" i="1"/>
  <c r="W932" i="1"/>
  <c r="V932" i="1"/>
  <c r="U932" i="1"/>
  <c r="T932" i="1"/>
  <c r="S932" i="1"/>
  <c r="AE931" i="1"/>
  <c r="AE930" i="1"/>
  <c r="AE929" i="1"/>
  <c r="AD926" i="1"/>
  <c r="AC926" i="1"/>
  <c r="AB926" i="1"/>
  <c r="AA926" i="1"/>
  <c r="Z926" i="1"/>
  <c r="Y926" i="1"/>
  <c r="X926" i="1"/>
  <c r="W926" i="1"/>
  <c r="V926" i="1"/>
  <c r="U926" i="1"/>
  <c r="T926" i="1"/>
  <c r="S926" i="1"/>
  <c r="AE925" i="1"/>
  <c r="AE924" i="1"/>
  <c r="AE923" i="1"/>
  <c r="AD920" i="1"/>
  <c r="AC920" i="1"/>
  <c r="AB920" i="1"/>
  <c r="AA920" i="1"/>
  <c r="Z920" i="1"/>
  <c r="Y920" i="1"/>
  <c r="X920" i="1"/>
  <c r="W920" i="1"/>
  <c r="V920" i="1"/>
  <c r="U920" i="1"/>
  <c r="T920" i="1"/>
  <c r="S920" i="1"/>
  <c r="AE919" i="1"/>
  <c r="AE918" i="1"/>
  <c r="AE917" i="1"/>
  <c r="AD914" i="1"/>
  <c r="AC914" i="1"/>
  <c r="AB914" i="1"/>
  <c r="AA914" i="1"/>
  <c r="Z914" i="1"/>
  <c r="Y914" i="1"/>
  <c r="X914" i="1"/>
  <c r="W914" i="1"/>
  <c r="V914" i="1"/>
  <c r="U914" i="1"/>
  <c r="T914" i="1"/>
  <c r="S914" i="1"/>
  <c r="AE913" i="1"/>
  <c r="AE912" i="1"/>
  <c r="AE911" i="1"/>
  <c r="AE914" i="1" s="1"/>
  <c r="AD908" i="1"/>
  <c r="AC908" i="1"/>
  <c r="AB908" i="1"/>
  <c r="AA908" i="1"/>
  <c r="Z908" i="1"/>
  <c r="Y908" i="1"/>
  <c r="X908" i="1"/>
  <c r="W908" i="1"/>
  <c r="V908" i="1"/>
  <c r="U908" i="1"/>
  <c r="T908" i="1"/>
  <c r="S908" i="1"/>
  <c r="AE907" i="1"/>
  <c r="AE906" i="1"/>
  <c r="AE905" i="1"/>
  <c r="AD902" i="1"/>
  <c r="AC902" i="1"/>
  <c r="AB902" i="1"/>
  <c r="AA902" i="1"/>
  <c r="Z902" i="1"/>
  <c r="Y902" i="1"/>
  <c r="X902" i="1"/>
  <c r="W902" i="1"/>
  <c r="V902" i="1"/>
  <c r="U902" i="1"/>
  <c r="T902" i="1"/>
  <c r="S902" i="1"/>
  <c r="AE901" i="1"/>
  <c r="AE900" i="1"/>
  <c r="AE899" i="1"/>
  <c r="AE902" i="1" s="1"/>
  <c r="AD896" i="1"/>
  <c r="AC896" i="1"/>
  <c r="AB896" i="1"/>
  <c r="AA896" i="1"/>
  <c r="Z896" i="1"/>
  <c r="Y896" i="1"/>
  <c r="X896" i="1"/>
  <c r="W896" i="1"/>
  <c r="V896" i="1"/>
  <c r="U896" i="1"/>
  <c r="T896" i="1"/>
  <c r="S896" i="1"/>
  <c r="AE895" i="1"/>
  <c r="AE894" i="1"/>
  <c r="AE893" i="1"/>
  <c r="AD890" i="1"/>
  <c r="AC890" i="1"/>
  <c r="AB890" i="1"/>
  <c r="AA890" i="1"/>
  <c r="Z890" i="1"/>
  <c r="Y890" i="1"/>
  <c r="X890" i="1"/>
  <c r="W890" i="1"/>
  <c r="V890" i="1"/>
  <c r="U890" i="1"/>
  <c r="T890" i="1"/>
  <c r="S890" i="1"/>
  <c r="AE889" i="1"/>
  <c r="AE888" i="1"/>
  <c r="AE887" i="1"/>
  <c r="AD884" i="1"/>
  <c r="AC884" i="1"/>
  <c r="AB884" i="1"/>
  <c r="AA884" i="1"/>
  <c r="Z884" i="1"/>
  <c r="Y884" i="1"/>
  <c r="X884" i="1"/>
  <c r="W884" i="1"/>
  <c r="V884" i="1"/>
  <c r="U884" i="1"/>
  <c r="T884" i="1"/>
  <c r="S884" i="1"/>
  <c r="AE883" i="1"/>
  <c r="AE882" i="1"/>
  <c r="AE881" i="1"/>
  <c r="AD878" i="1"/>
  <c r="AC878" i="1"/>
  <c r="AB878" i="1"/>
  <c r="AA878" i="1"/>
  <c r="Z878" i="1"/>
  <c r="Y878" i="1"/>
  <c r="X878" i="1"/>
  <c r="W878" i="1"/>
  <c r="V878" i="1"/>
  <c r="U878" i="1"/>
  <c r="T878" i="1"/>
  <c r="S878" i="1"/>
  <c r="AE877" i="1"/>
  <c r="AE876" i="1"/>
  <c r="AE875" i="1"/>
  <c r="V872" i="1"/>
  <c r="U872" i="1"/>
  <c r="T872" i="1"/>
  <c r="S872" i="1"/>
  <c r="AD871" i="1"/>
  <c r="AD872" i="1" s="1"/>
  <c r="AC871" i="1"/>
  <c r="AC872" i="1" s="1"/>
  <c r="AB871" i="1"/>
  <c r="AB872" i="1" s="1"/>
  <c r="AA871" i="1"/>
  <c r="AA872" i="1" s="1"/>
  <c r="Z871" i="1"/>
  <c r="Z872" i="1" s="1"/>
  <c r="Y871" i="1"/>
  <c r="Y872" i="1" s="1"/>
  <c r="X871" i="1"/>
  <c r="X872" i="1" s="1"/>
  <c r="W871" i="1"/>
  <c r="W872" i="1" s="1"/>
  <c r="AE870" i="1"/>
  <c r="AE869" i="1"/>
  <c r="AC866" i="1"/>
  <c r="AB866" i="1"/>
  <c r="AA866" i="1"/>
  <c r="Z866" i="1"/>
  <c r="Y866" i="1"/>
  <c r="X866" i="1"/>
  <c r="W866" i="1"/>
  <c r="V866" i="1"/>
  <c r="U866" i="1"/>
  <c r="T866" i="1"/>
  <c r="S866" i="1"/>
  <c r="AD865" i="1"/>
  <c r="AE865" i="1" s="1"/>
  <c r="AE864" i="1"/>
  <c r="AE863" i="1"/>
  <c r="AD859" i="1"/>
  <c r="AD860" i="1" s="1"/>
  <c r="AC859" i="1"/>
  <c r="AC860" i="1" s="1"/>
  <c r="AB859" i="1"/>
  <c r="AB860" i="1" s="1"/>
  <c r="AA859" i="1"/>
  <c r="AA860" i="1" s="1"/>
  <c r="Z859" i="1"/>
  <c r="Z860" i="1" s="1"/>
  <c r="Y859" i="1"/>
  <c r="Y860" i="1" s="1"/>
  <c r="X859" i="1"/>
  <c r="X860" i="1" s="1"/>
  <c r="W859" i="1"/>
  <c r="W860" i="1" s="1"/>
  <c r="V859" i="1"/>
  <c r="V860" i="1" s="1"/>
  <c r="U859" i="1"/>
  <c r="U860" i="1" s="1"/>
  <c r="T859" i="1"/>
  <c r="T860" i="1" s="1"/>
  <c r="S859" i="1"/>
  <c r="S858" i="1"/>
  <c r="S860" i="1" s="1"/>
  <c r="AE857" i="1"/>
  <c r="Y854" i="1"/>
  <c r="AD853" i="1"/>
  <c r="AD854" i="1" s="1"/>
  <c r="AC853" i="1"/>
  <c r="AC854" i="1" s="1"/>
  <c r="AB853" i="1"/>
  <c r="AB854" i="1" s="1"/>
  <c r="AA853" i="1"/>
  <c r="AA854" i="1" s="1"/>
  <c r="Z853" i="1"/>
  <c r="Z854" i="1" s="1"/>
  <c r="Y853" i="1"/>
  <c r="X853" i="1"/>
  <c r="X854" i="1" s="1"/>
  <c r="W853" i="1"/>
  <c r="W854" i="1" s="1"/>
  <c r="V853" i="1"/>
  <c r="V854" i="1" s="1"/>
  <c r="U853" i="1"/>
  <c r="U854" i="1" s="1"/>
  <c r="T853" i="1"/>
  <c r="T854" i="1" s="1"/>
  <c r="S853" i="1"/>
  <c r="S852" i="1"/>
  <c r="S854" i="1" s="1"/>
  <c r="AE851" i="1"/>
  <c r="AD847" i="1"/>
  <c r="AD848" i="1" s="1"/>
  <c r="AC847" i="1"/>
  <c r="AC848" i="1" s="1"/>
  <c r="AB847" i="1"/>
  <c r="AB848" i="1" s="1"/>
  <c r="AA847" i="1"/>
  <c r="AA848" i="1" s="1"/>
  <c r="Z847" i="1"/>
  <c r="Z848" i="1" s="1"/>
  <c r="Y847" i="1"/>
  <c r="Y848" i="1" s="1"/>
  <c r="X847" i="1"/>
  <c r="X848" i="1" s="1"/>
  <c r="W847" i="1"/>
  <c r="W848" i="1" s="1"/>
  <c r="V847" i="1"/>
  <c r="V848" i="1" s="1"/>
  <c r="U847" i="1"/>
  <c r="U848" i="1" s="1"/>
  <c r="T847" i="1"/>
  <c r="T848" i="1" s="1"/>
  <c r="S847" i="1"/>
  <c r="S846" i="1"/>
  <c r="AE846" i="1" s="1"/>
  <c r="AE845" i="1"/>
  <c r="AD841" i="1"/>
  <c r="AD842" i="1" s="1"/>
  <c r="AC841" i="1"/>
  <c r="AC842" i="1" s="1"/>
  <c r="AB841" i="1"/>
  <c r="AB842" i="1" s="1"/>
  <c r="AA841" i="1"/>
  <c r="AA842" i="1" s="1"/>
  <c r="Z841" i="1"/>
  <c r="Z842" i="1" s="1"/>
  <c r="Y841" i="1"/>
  <c r="Y842" i="1" s="1"/>
  <c r="X841" i="1"/>
  <c r="X842" i="1" s="1"/>
  <c r="W841" i="1"/>
  <c r="W842" i="1" s="1"/>
  <c r="V841" i="1"/>
  <c r="V842" i="1" s="1"/>
  <c r="U841" i="1"/>
  <c r="U842" i="1" s="1"/>
  <c r="T841" i="1"/>
  <c r="T842" i="1" s="1"/>
  <c r="S841" i="1"/>
  <c r="S840" i="1"/>
  <c r="AE839" i="1"/>
  <c r="AD835" i="1"/>
  <c r="AD836" i="1" s="1"/>
  <c r="AC835" i="1"/>
  <c r="AC836" i="1" s="1"/>
  <c r="AB835" i="1"/>
  <c r="AB836" i="1" s="1"/>
  <c r="AA835" i="1"/>
  <c r="AA836" i="1" s="1"/>
  <c r="Z835" i="1"/>
  <c r="Z836" i="1" s="1"/>
  <c r="Y835" i="1"/>
  <c r="Y836" i="1" s="1"/>
  <c r="X835" i="1"/>
  <c r="X836" i="1" s="1"/>
  <c r="W835" i="1"/>
  <c r="W836" i="1" s="1"/>
  <c r="V835" i="1"/>
  <c r="V836" i="1" s="1"/>
  <c r="U835" i="1"/>
  <c r="U836" i="1" s="1"/>
  <c r="T835" i="1"/>
  <c r="T836" i="1" s="1"/>
  <c r="S835" i="1"/>
  <c r="S834" i="1"/>
  <c r="AE834" i="1" s="1"/>
  <c r="AE833" i="1"/>
  <c r="AD829" i="1"/>
  <c r="AD830" i="1" s="1"/>
  <c r="AC829" i="1"/>
  <c r="AC830" i="1" s="1"/>
  <c r="AB829" i="1"/>
  <c r="AB830" i="1" s="1"/>
  <c r="AA829" i="1"/>
  <c r="AA830" i="1" s="1"/>
  <c r="Z829" i="1"/>
  <c r="Z830" i="1" s="1"/>
  <c r="Y829" i="1"/>
  <c r="Y830" i="1" s="1"/>
  <c r="X829" i="1"/>
  <c r="X830" i="1" s="1"/>
  <c r="W829" i="1"/>
  <c r="W830" i="1" s="1"/>
  <c r="V829" i="1"/>
  <c r="V830" i="1" s="1"/>
  <c r="U829" i="1"/>
  <c r="U830" i="1" s="1"/>
  <c r="T829" i="1"/>
  <c r="T830" i="1" s="1"/>
  <c r="S829" i="1"/>
  <c r="AE828" i="1"/>
  <c r="AE827" i="1"/>
  <c r="AD824" i="1"/>
  <c r="AC824" i="1"/>
  <c r="AB824" i="1"/>
  <c r="AA824" i="1"/>
  <c r="Z824" i="1"/>
  <c r="Y824" i="1"/>
  <c r="X824" i="1"/>
  <c r="W824" i="1"/>
  <c r="V824" i="1"/>
  <c r="U824" i="1"/>
  <c r="T824" i="1"/>
  <c r="S824" i="1"/>
  <c r="AE823" i="1"/>
  <c r="AE822" i="1"/>
  <c r="AE821" i="1"/>
  <c r="AD818" i="1"/>
  <c r="AC818" i="1"/>
  <c r="AB818" i="1"/>
  <c r="AA818" i="1"/>
  <c r="Z818" i="1"/>
  <c r="Y818" i="1"/>
  <c r="X818" i="1"/>
  <c r="W818" i="1"/>
  <c r="V818" i="1"/>
  <c r="U818" i="1"/>
  <c r="T818" i="1"/>
  <c r="S818" i="1"/>
  <c r="AE817" i="1"/>
  <c r="AE816" i="1"/>
  <c r="AE815" i="1"/>
  <c r="AD812" i="1"/>
  <c r="AC812" i="1"/>
  <c r="AB812" i="1"/>
  <c r="AA812" i="1"/>
  <c r="Z812" i="1"/>
  <c r="Y812" i="1"/>
  <c r="X812" i="1"/>
  <c r="W812" i="1"/>
  <c r="V812" i="1"/>
  <c r="U812" i="1"/>
  <c r="T812" i="1"/>
  <c r="S812" i="1"/>
  <c r="AE811" i="1"/>
  <c r="AE810" i="1"/>
  <c r="AE809" i="1"/>
  <c r="AD806" i="1"/>
  <c r="AC806" i="1"/>
  <c r="AB806" i="1"/>
  <c r="AA806" i="1"/>
  <c r="Z806" i="1"/>
  <c r="Y806" i="1"/>
  <c r="X806" i="1"/>
  <c r="W806" i="1"/>
  <c r="V806" i="1"/>
  <c r="U806" i="1"/>
  <c r="T806" i="1"/>
  <c r="S806" i="1"/>
  <c r="AE805" i="1"/>
  <c r="AE804" i="1"/>
  <c r="AE803" i="1"/>
  <c r="AD800" i="1"/>
  <c r="AC800" i="1"/>
  <c r="AB800" i="1"/>
  <c r="AA800" i="1"/>
  <c r="Z800" i="1"/>
  <c r="Y800" i="1"/>
  <c r="X800" i="1"/>
  <c r="W800" i="1"/>
  <c r="V800" i="1"/>
  <c r="U800" i="1"/>
  <c r="T800" i="1"/>
  <c r="S800" i="1"/>
  <c r="AE799" i="1"/>
  <c r="AE798" i="1"/>
  <c r="AE800" i="1" s="1"/>
  <c r="AE797" i="1"/>
  <c r="AD794" i="1"/>
  <c r="AC794" i="1"/>
  <c r="AB794" i="1"/>
  <c r="AA794" i="1"/>
  <c r="Z794" i="1"/>
  <c r="Y794" i="1"/>
  <c r="X794" i="1"/>
  <c r="W794" i="1"/>
  <c r="V794" i="1"/>
  <c r="U794" i="1"/>
  <c r="T794" i="1"/>
  <c r="S794" i="1"/>
  <c r="AE793" i="1"/>
  <c r="AE792" i="1"/>
  <c r="AE791" i="1"/>
  <c r="AC788" i="1"/>
  <c r="AB788" i="1"/>
  <c r="AA788" i="1"/>
  <c r="Z788" i="1"/>
  <c r="Y788" i="1"/>
  <c r="X788" i="1"/>
  <c r="W788" i="1"/>
  <c r="V788" i="1"/>
  <c r="U788" i="1"/>
  <c r="T788" i="1"/>
  <c r="S788" i="1"/>
  <c r="AD787" i="1"/>
  <c r="AD788" i="1" s="1"/>
  <c r="AE786" i="1"/>
  <c r="AE785" i="1"/>
  <c r="AD781" i="1"/>
  <c r="AD782" i="1" s="1"/>
  <c r="AC781" i="1"/>
  <c r="AC782" i="1" s="1"/>
  <c r="AB781" i="1"/>
  <c r="AB782" i="1" s="1"/>
  <c r="AA781" i="1"/>
  <c r="AA782" i="1" s="1"/>
  <c r="Z781" i="1"/>
  <c r="Z782" i="1" s="1"/>
  <c r="Y781" i="1"/>
  <c r="Y782" i="1" s="1"/>
  <c r="X781" i="1"/>
  <c r="X782" i="1" s="1"/>
  <c r="W781" i="1"/>
  <c r="V781" i="1"/>
  <c r="V782" i="1" s="1"/>
  <c r="U781" i="1"/>
  <c r="U782" i="1" s="1"/>
  <c r="T781" i="1"/>
  <c r="T782" i="1" s="1"/>
  <c r="S781" i="1"/>
  <c r="S782" i="1" s="1"/>
  <c r="AE780" i="1"/>
  <c r="AE779" i="1"/>
  <c r="X776" i="1"/>
  <c r="W776" i="1"/>
  <c r="V776" i="1"/>
  <c r="U776" i="1"/>
  <c r="T776" i="1"/>
  <c r="S776" i="1"/>
  <c r="AD775" i="1"/>
  <c r="AD776" i="1" s="1"/>
  <c r="AC775" i="1"/>
  <c r="AC776" i="1" s="1"/>
  <c r="AB775" i="1"/>
  <c r="AB776" i="1" s="1"/>
  <c r="AA775" i="1"/>
  <c r="AA776" i="1" s="1"/>
  <c r="Z775" i="1"/>
  <c r="Z776" i="1" s="1"/>
  <c r="Y775" i="1"/>
  <c r="Y776" i="1" s="1"/>
  <c r="AE774" i="1"/>
  <c r="AE773" i="1"/>
  <c r="AD769" i="1"/>
  <c r="AD770" i="1" s="1"/>
  <c r="AC769" i="1"/>
  <c r="AC770" i="1" s="1"/>
  <c r="AB769" i="1"/>
  <c r="AB770" i="1" s="1"/>
  <c r="AA769" i="1"/>
  <c r="AA770" i="1" s="1"/>
  <c r="Z769" i="1"/>
  <c r="Z770" i="1" s="1"/>
  <c r="Y769" i="1"/>
  <c r="Y770" i="1" s="1"/>
  <c r="X769" i="1"/>
  <c r="X770" i="1" s="1"/>
  <c r="W769" i="1"/>
  <c r="W770" i="1" s="1"/>
  <c r="V769" i="1"/>
  <c r="V770" i="1" s="1"/>
  <c r="U769" i="1"/>
  <c r="U770" i="1" s="1"/>
  <c r="T769" i="1"/>
  <c r="T770" i="1" s="1"/>
  <c r="S769" i="1"/>
  <c r="S770" i="1" s="1"/>
  <c r="AE768" i="1"/>
  <c r="AE767" i="1"/>
  <c r="AD764" i="1"/>
  <c r="AC764" i="1"/>
  <c r="AB764" i="1"/>
  <c r="AA764" i="1"/>
  <c r="Z764" i="1"/>
  <c r="Y764" i="1"/>
  <c r="X764" i="1"/>
  <c r="W764" i="1"/>
  <c r="V764" i="1"/>
  <c r="U764" i="1"/>
  <c r="T764" i="1"/>
  <c r="S764" i="1"/>
  <c r="AE763" i="1"/>
  <c r="AE762" i="1"/>
  <c r="AE761" i="1"/>
  <c r="AD758" i="1"/>
  <c r="AC758" i="1"/>
  <c r="AB758" i="1"/>
  <c r="AA758" i="1"/>
  <c r="Z758" i="1"/>
  <c r="Y758" i="1"/>
  <c r="X758" i="1"/>
  <c r="W758" i="1"/>
  <c r="V758" i="1"/>
  <c r="U758" i="1"/>
  <c r="T758" i="1"/>
  <c r="S758" i="1"/>
  <c r="AE757" i="1"/>
  <c r="AE756" i="1"/>
  <c r="AE755" i="1"/>
  <c r="AE758" i="1" s="1"/>
  <c r="AD752" i="1"/>
  <c r="AC752" i="1"/>
  <c r="AB752" i="1"/>
  <c r="AA752" i="1"/>
  <c r="Z752" i="1"/>
  <c r="Y752" i="1"/>
  <c r="X752" i="1"/>
  <c r="W752" i="1"/>
  <c r="V752" i="1"/>
  <c r="U752" i="1"/>
  <c r="T752" i="1"/>
  <c r="S752" i="1"/>
  <c r="AE751" i="1"/>
  <c r="AE750" i="1"/>
  <c r="AE749" i="1"/>
  <c r="AD746" i="1"/>
  <c r="AC746" i="1"/>
  <c r="AB746" i="1"/>
  <c r="AA746" i="1"/>
  <c r="Z746" i="1"/>
  <c r="Y746" i="1"/>
  <c r="X746" i="1"/>
  <c r="W746" i="1"/>
  <c r="V746" i="1"/>
  <c r="U746" i="1"/>
  <c r="T746" i="1"/>
  <c r="S746" i="1"/>
  <c r="AE745" i="1"/>
  <c r="AE744" i="1"/>
  <c r="AE743" i="1"/>
  <c r="AD740" i="1"/>
  <c r="AC740" i="1"/>
  <c r="AB740" i="1"/>
  <c r="AA740" i="1"/>
  <c r="Z740" i="1"/>
  <c r="Y740" i="1"/>
  <c r="X740" i="1"/>
  <c r="W740" i="1"/>
  <c r="V740" i="1"/>
  <c r="U740" i="1"/>
  <c r="T740" i="1"/>
  <c r="S740" i="1"/>
  <c r="AE739" i="1"/>
  <c r="AE738" i="1"/>
  <c r="AE737" i="1"/>
  <c r="U734" i="1"/>
  <c r="T734" i="1"/>
  <c r="S734" i="1"/>
  <c r="AD733" i="1"/>
  <c r="AD734" i="1" s="1"/>
  <c r="AC733" i="1"/>
  <c r="AC734" i="1" s="1"/>
  <c r="AB733" i="1"/>
  <c r="AB734" i="1" s="1"/>
  <c r="AA733" i="1"/>
  <c r="AA734" i="1" s="1"/>
  <c r="Z733" i="1"/>
  <c r="Z734" i="1" s="1"/>
  <c r="Y733" i="1"/>
  <c r="Y734" i="1" s="1"/>
  <c r="X733" i="1"/>
  <c r="X734" i="1" s="1"/>
  <c r="W733" i="1"/>
  <c r="W734" i="1" s="1"/>
  <c r="V733" i="1"/>
  <c r="AE732" i="1"/>
  <c r="AE731" i="1"/>
  <c r="Y728" i="1"/>
  <c r="AD727" i="1"/>
  <c r="AD728" i="1" s="1"/>
  <c r="AC727" i="1"/>
  <c r="AC728" i="1" s="1"/>
  <c r="AB727" i="1"/>
  <c r="AB728" i="1" s="1"/>
  <c r="AA727" i="1"/>
  <c r="AA728" i="1" s="1"/>
  <c r="Z727" i="1"/>
  <c r="Z728" i="1" s="1"/>
  <c r="Y727" i="1"/>
  <c r="X727" i="1"/>
  <c r="X728" i="1" s="1"/>
  <c r="W727" i="1"/>
  <c r="W728" i="1" s="1"/>
  <c r="V727" i="1"/>
  <c r="V728" i="1" s="1"/>
  <c r="U727" i="1"/>
  <c r="U728" i="1" s="1"/>
  <c r="T727" i="1"/>
  <c r="T728" i="1" s="1"/>
  <c r="S727" i="1"/>
  <c r="S728" i="1" s="1"/>
  <c r="AE726" i="1"/>
  <c r="AE725" i="1"/>
  <c r="AD721" i="1"/>
  <c r="AD722" i="1" s="1"/>
  <c r="AC721" i="1"/>
  <c r="AC722" i="1" s="1"/>
  <c r="AB721" i="1"/>
  <c r="AB722" i="1" s="1"/>
  <c r="AA721" i="1"/>
  <c r="AA722" i="1" s="1"/>
  <c r="Z721" i="1"/>
  <c r="Z722" i="1" s="1"/>
  <c r="Y721" i="1"/>
  <c r="Y722" i="1" s="1"/>
  <c r="X721" i="1"/>
  <c r="X722" i="1" s="1"/>
  <c r="W721" i="1"/>
  <c r="W722" i="1" s="1"/>
  <c r="V721" i="1"/>
  <c r="V722" i="1" s="1"/>
  <c r="U721" i="1"/>
  <c r="U722" i="1" s="1"/>
  <c r="T721" i="1"/>
  <c r="T722" i="1" s="1"/>
  <c r="S721" i="1"/>
  <c r="AE720" i="1"/>
  <c r="AE719" i="1"/>
  <c r="AD715" i="1"/>
  <c r="AD716" i="1" s="1"/>
  <c r="AC715" i="1"/>
  <c r="AC716" i="1" s="1"/>
  <c r="AB715" i="1"/>
  <c r="AB716" i="1" s="1"/>
  <c r="AA715" i="1"/>
  <c r="AA716" i="1" s="1"/>
  <c r="Z715" i="1"/>
  <c r="Z716" i="1" s="1"/>
  <c r="Y715" i="1"/>
  <c r="Y716" i="1" s="1"/>
  <c r="X715" i="1"/>
  <c r="X716" i="1" s="1"/>
  <c r="W715" i="1"/>
  <c r="W716" i="1" s="1"/>
  <c r="V715" i="1"/>
  <c r="V716" i="1" s="1"/>
  <c r="U715" i="1"/>
  <c r="U716" i="1" s="1"/>
  <c r="T715" i="1"/>
  <c r="T716" i="1" s="1"/>
  <c r="S715" i="1"/>
  <c r="S716" i="1" s="1"/>
  <c r="AE714" i="1"/>
  <c r="AE713" i="1"/>
  <c r="AD710" i="1"/>
  <c r="AC710" i="1"/>
  <c r="AB710" i="1"/>
  <c r="AA710" i="1"/>
  <c r="Z710" i="1"/>
  <c r="Y710" i="1"/>
  <c r="X710" i="1"/>
  <c r="W710" i="1"/>
  <c r="V710" i="1"/>
  <c r="U710" i="1"/>
  <c r="T710" i="1"/>
  <c r="S710" i="1"/>
  <c r="AE709" i="1"/>
  <c r="AE708" i="1"/>
  <c r="AE707" i="1"/>
  <c r="AC704" i="1"/>
  <c r="AB704" i="1"/>
  <c r="AA704" i="1"/>
  <c r="Z704" i="1"/>
  <c r="Y704" i="1"/>
  <c r="X704" i="1"/>
  <c r="W704" i="1"/>
  <c r="V704" i="1"/>
  <c r="U704" i="1"/>
  <c r="T704" i="1"/>
  <c r="S704" i="1"/>
  <c r="AE703" i="1"/>
  <c r="AD703" i="1"/>
  <c r="AD704" i="1" s="1"/>
  <c r="AE702" i="1"/>
  <c r="AE701" i="1"/>
  <c r="AD697" i="1"/>
  <c r="AD698" i="1" s="1"/>
  <c r="AC697" i="1"/>
  <c r="AC698" i="1" s="1"/>
  <c r="AB697" i="1"/>
  <c r="AB698" i="1" s="1"/>
  <c r="AA697" i="1"/>
  <c r="AA698" i="1" s="1"/>
  <c r="Z697" i="1"/>
  <c r="Z698" i="1" s="1"/>
  <c r="Y697" i="1"/>
  <c r="Y698" i="1" s="1"/>
  <c r="X697" i="1"/>
  <c r="X698" i="1" s="1"/>
  <c r="W697" i="1"/>
  <c r="W698" i="1" s="1"/>
  <c r="V697" i="1"/>
  <c r="V698" i="1" s="1"/>
  <c r="U697" i="1"/>
  <c r="U698" i="1" s="1"/>
  <c r="T697" i="1"/>
  <c r="T698" i="1" s="1"/>
  <c r="S697" i="1"/>
  <c r="S698" i="1" s="1"/>
  <c r="AE696" i="1"/>
  <c r="AE695" i="1"/>
  <c r="S692" i="1"/>
  <c r="AD691" i="1"/>
  <c r="AD692" i="1" s="1"/>
  <c r="AC691" i="1"/>
  <c r="AC692" i="1" s="1"/>
  <c r="AB691" i="1"/>
  <c r="AB692" i="1" s="1"/>
  <c r="AA691" i="1"/>
  <c r="AA692" i="1" s="1"/>
  <c r="Z691" i="1"/>
  <c r="Z692" i="1" s="1"/>
  <c r="Y691" i="1"/>
  <c r="Y692" i="1" s="1"/>
  <c r="X691" i="1"/>
  <c r="X692" i="1" s="1"/>
  <c r="W691" i="1"/>
  <c r="V691" i="1"/>
  <c r="V692" i="1" s="1"/>
  <c r="U691" i="1"/>
  <c r="U692" i="1" s="1"/>
  <c r="T691" i="1"/>
  <c r="T692" i="1" s="1"/>
  <c r="S691" i="1"/>
  <c r="AE690" i="1"/>
  <c r="AE689" i="1"/>
  <c r="AD686" i="1"/>
  <c r="AC686" i="1"/>
  <c r="AB686" i="1"/>
  <c r="AA686" i="1"/>
  <c r="Z686" i="1"/>
  <c r="Y686" i="1"/>
  <c r="X686" i="1"/>
  <c r="W686" i="1"/>
  <c r="V686" i="1"/>
  <c r="U686" i="1"/>
  <c r="T686" i="1"/>
  <c r="S686" i="1"/>
  <c r="AE685" i="1"/>
  <c r="AE684" i="1"/>
  <c r="AE683" i="1"/>
  <c r="AE686" i="1" s="1"/>
  <c r="AD679" i="1"/>
  <c r="AD680" i="1" s="1"/>
  <c r="AC679" i="1"/>
  <c r="AC680" i="1" s="1"/>
  <c r="AB679" i="1"/>
  <c r="AB680" i="1" s="1"/>
  <c r="AA679" i="1"/>
  <c r="AA680" i="1" s="1"/>
  <c r="Z679" i="1"/>
  <c r="Z680" i="1" s="1"/>
  <c r="Y679" i="1"/>
  <c r="Y680" i="1" s="1"/>
  <c r="X679" i="1"/>
  <c r="X680" i="1" s="1"/>
  <c r="W679" i="1"/>
  <c r="W680" i="1" s="1"/>
  <c r="V679" i="1"/>
  <c r="V680" i="1" s="1"/>
  <c r="U679" i="1"/>
  <c r="U680" i="1" s="1"/>
  <c r="T679" i="1"/>
  <c r="T680" i="1" s="1"/>
  <c r="S679" i="1"/>
  <c r="S680" i="1" s="1"/>
  <c r="AE678" i="1"/>
  <c r="AE677" i="1"/>
  <c r="AB674" i="1"/>
  <c r="AA674" i="1"/>
  <c r="Z674" i="1"/>
  <c r="Y674" i="1"/>
  <c r="X674" i="1"/>
  <c r="W674" i="1"/>
  <c r="V674" i="1"/>
  <c r="U674" i="1"/>
  <c r="T674" i="1"/>
  <c r="S674" i="1"/>
  <c r="AD673" i="1"/>
  <c r="AD674" i="1" s="1"/>
  <c r="AC673" i="1"/>
  <c r="AC674" i="1" s="1"/>
  <c r="AE672" i="1"/>
  <c r="AE671" i="1"/>
  <c r="AD668" i="1"/>
  <c r="AC668" i="1"/>
  <c r="AB668" i="1"/>
  <c r="AA668" i="1"/>
  <c r="Z668" i="1"/>
  <c r="Y668" i="1"/>
  <c r="X668" i="1"/>
  <c r="W668" i="1"/>
  <c r="V668" i="1"/>
  <c r="U668" i="1"/>
  <c r="T668" i="1"/>
  <c r="S668" i="1"/>
  <c r="AE667" i="1"/>
  <c r="AE666" i="1"/>
  <c r="AE665" i="1"/>
  <c r="AC662" i="1"/>
  <c r="AD661" i="1"/>
  <c r="AD662" i="1" s="1"/>
  <c r="AC661" i="1"/>
  <c r="AB661" i="1"/>
  <c r="AB662" i="1" s="1"/>
  <c r="AA661" i="1"/>
  <c r="AA662" i="1" s="1"/>
  <c r="Z661" i="1"/>
  <c r="Z662" i="1" s="1"/>
  <c r="Y661" i="1"/>
  <c r="Y662" i="1" s="1"/>
  <c r="X661" i="1"/>
  <c r="X662" i="1" s="1"/>
  <c r="W661" i="1"/>
  <c r="W662" i="1" s="1"/>
  <c r="V661" i="1"/>
  <c r="V662" i="1" s="1"/>
  <c r="U661" i="1"/>
  <c r="U662" i="1" s="1"/>
  <c r="T661" i="1"/>
  <c r="T662" i="1" s="1"/>
  <c r="S661" i="1"/>
  <c r="S662" i="1" s="1"/>
  <c r="AE660" i="1"/>
  <c r="AE659" i="1"/>
  <c r="AD656" i="1"/>
  <c r="AC656" i="1"/>
  <c r="AB656" i="1"/>
  <c r="AA656" i="1"/>
  <c r="Z656" i="1"/>
  <c r="Y656" i="1"/>
  <c r="X656" i="1"/>
  <c r="W656" i="1"/>
  <c r="V656" i="1"/>
  <c r="U656" i="1"/>
  <c r="T656" i="1"/>
  <c r="S656" i="1"/>
  <c r="AE655" i="1"/>
  <c r="AE654" i="1"/>
  <c r="AE653" i="1"/>
  <c r="AD650" i="1"/>
  <c r="AC650" i="1"/>
  <c r="AB650" i="1"/>
  <c r="AA650" i="1"/>
  <c r="Z650" i="1"/>
  <c r="Y650" i="1"/>
  <c r="X650" i="1"/>
  <c r="W650" i="1"/>
  <c r="V650" i="1"/>
  <c r="U650" i="1"/>
  <c r="T650" i="1"/>
  <c r="S650" i="1"/>
  <c r="AE649" i="1"/>
  <c r="AE648" i="1"/>
  <c r="AE647" i="1"/>
  <c r="W644" i="1"/>
  <c r="V644" i="1"/>
  <c r="U644" i="1"/>
  <c r="T644" i="1"/>
  <c r="S644" i="1"/>
  <c r="AD643" i="1"/>
  <c r="AD644" i="1" s="1"/>
  <c r="AC643" i="1"/>
  <c r="AC644" i="1" s="1"/>
  <c r="AB643" i="1"/>
  <c r="AB644" i="1" s="1"/>
  <c r="AA643" i="1"/>
  <c r="AA644" i="1" s="1"/>
  <c r="Z643" i="1"/>
  <c r="Z644" i="1" s="1"/>
  <c r="Y643" i="1"/>
  <c r="Y644" i="1" s="1"/>
  <c r="X643" i="1"/>
  <c r="X644" i="1" s="1"/>
  <c r="AE642" i="1"/>
  <c r="AE641" i="1"/>
  <c r="AD638" i="1"/>
  <c r="AC638" i="1"/>
  <c r="AB638" i="1"/>
  <c r="AA638" i="1"/>
  <c r="Z638" i="1"/>
  <c r="Y638" i="1"/>
  <c r="X638" i="1"/>
  <c r="W638" i="1"/>
  <c r="V638" i="1"/>
  <c r="U638" i="1"/>
  <c r="T638" i="1"/>
  <c r="S638" i="1"/>
  <c r="AE637" i="1"/>
  <c r="AE636" i="1"/>
  <c r="AE635" i="1"/>
  <c r="W632" i="1"/>
  <c r="V632" i="1"/>
  <c r="U632" i="1"/>
  <c r="T632" i="1"/>
  <c r="S632" i="1"/>
  <c r="AD631" i="1"/>
  <c r="AD632" i="1" s="1"/>
  <c r="AC631" i="1"/>
  <c r="AC632" i="1" s="1"/>
  <c r="AB631" i="1"/>
  <c r="AB632" i="1" s="1"/>
  <c r="AA631" i="1"/>
  <c r="AA632" i="1" s="1"/>
  <c r="Z631" i="1"/>
  <c r="Z632" i="1" s="1"/>
  <c r="Y631" i="1"/>
  <c r="Y632" i="1" s="1"/>
  <c r="X631" i="1"/>
  <c r="X632" i="1" s="1"/>
  <c r="AE630" i="1"/>
  <c r="AE629" i="1"/>
  <c r="V626" i="1"/>
  <c r="U626" i="1"/>
  <c r="T626" i="1"/>
  <c r="S626" i="1"/>
  <c r="AD625" i="1"/>
  <c r="AD626" i="1" s="1"/>
  <c r="AC625" i="1"/>
  <c r="AC626" i="1" s="1"/>
  <c r="AB625" i="1"/>
  <c r="AB626" i="1" s="1"/>
  <c r="AA625" i="1"/>
  <c r="AA626" i="1" s="1"/>
  <c r="Z625" i="1"/>
  <c r="Z626" i="1" s="1"/>
  <c r="Y625" i="1"/>
  <c r="Y626" i="1" s="1"/>
  <c r="X625" i="1"/>
  <c r="X626" i="1" s="1"/>
  <c r="W625" i="1"/>
  <c r="AE624" i="1"/>
  <c r="AE623" i="1"/>
  <c r="AD619" i="1"/>
  <c r="AD620" i="1" s="1"/>
  <c r="AC619" i="1"/>
  <c r="AC620" i="1" s="1"/>
  <c r="AB619" i="1"/>
  <c r="AB620" i="1" s="1"/>
  <c r="AA619" i="1"/>
  <c r="AA620" i="1" s="1"/>
  <c r="Z619" i="1"/>
  <c r="Z620" i="1" s="1"/>
  <c r="Y619" i="1"/>
  <c r="Y620" i="1" s="1"/>
  <c r="X619" i="1"/>
  <c r="X620" i="1" s="1"/>
  <c r="W619" i="1"/>
  <c r="W620" i="1" s="1"/>
  <c r="V619" i="1"/>
  <c r="V620" i="1" s="1"/>
  <c r="U619" i="1"/>
  <c r="U620" i="1" s="1"/>
  <c r="T619" i="1"/>
  <c r="T620" i="1" s="1"/>
  <c r="S619" i="1"/>
  <c r="S620" i="1" s="1"/>
  <c r="AE618" i="1"/>
  <c r="AE617" i="1"/>
  <c r="AB614" i="1"/>
  <c r="T614" i="1"/>
  <c r="AD613" i="1"/>
  <c r="AD614" i="1" s="1"/>
  <c r="AC613" i="1"/>
  <c r="AC614" i="1" s="1"/>
  <c r="AB613" i="1"/>
  <c r="AA613" i="1"/>
  <c r="AA614" i="1" s="1"/>
  <c r="Z613" i="1"/>
  <c r="Z614" i="1" s="1"/>
  <c r="Y613" i="1"/>
  <c r="Y614" i="1" s="1"/>
  <c r="X613" i="1"/>
  <c r="X614" i="1" s="1"/>
  <c r="W613" i="1"/>
  <c r="V613" i="1"/>
  <c r="V614" i="1" s="1"/>
  <c r="U613" i="1"/>
  <c r="U614" i="1" s="1"/>
  <c r="T613" i="1"/>
  <c r="S613" i="1"/>
  <c r="S614" i="1" s="1"/>
  <c r="AE612" i="1"/>
  <c r="AE611" i="1"/>
  <c r="W608" i="1"/>
  <c r="AD607" i="1"/>
  <c r="AD608" i="1" s="1"/>
  <c r="AC607" i="1"/>
  <c r="AC608" i="1" s="1"/>
  <c r="AB607" i="1"/>
  <c r="AB608" i="1" s="1"/>
  <c r="AA607" i="1"/>
  <c r="AA608" i="1" s="1"/>
  <c r="Z607" i="1"/>
  <c r="Z608" i="1" s="1"/>
  <c r="Y607" i="1"/>
  <c r="Y608" i="1" s="1"/>
  <c r="X607" i="1"/>
  <c r="X608" i="1" s="1"/>
  <c r="W607" i="1"/>
  <c r="V607" i="1"/>
  <c r="V608" i="1" s="1"/>
  <c r="U607" i="1"/>
  <c r="U608" i="1" s="1"/>
  <c r="T607" i="1"/>
  <c r="T608" i="1" s="1"/>
  <c r="S607" i="1"/>
  <c r="S608" i="1" s="1"/>
  <c r="AE606" i="1"/>
  <c r="AE605" i="1"/>
  <c r="AD602" i="1"/>
  <c r="AC602" i="1"/>
  <c r="AB602" i="1"/>
  <c r="AA602" i="1"/>
  <c r="Z602" i="1"/>
  <c r="Y602" i="1"/>
  <c r="X602" i="1"/>
  <c r="W602" i="1"/>
  <c r="V602" i="1"/>
  <c r="U602" i="1"/>
  <c r="T602" i="1"/>
  <c r="S602" i="1"/>
  <c r="AE601" i="1"/>
  <c r="AE600" i="1"/>
  <c r="AE599" i="1"/>
  <c r="Z596" i="1"/>
  <c r="AD595" i="1"/>
  <c r="AD596" i="1" s="1"/>
  <c r="AC595" i="1"/>
  <c r="AC596" i="1" s="1"/>
  <c r="AB595" i="1"/>
  <c r="AB596" i="1" s="1"/>
  <c r="AA595" i="1"/>
  <c r="AA596" i="1" s="1"/>
  <c r="Z595" i="1"/>
  <c r="Y595" i="1"/>
  <c r="Y596" i="1" s="1"/>
  <c r="X595" i="1"/>
  <c r="X596" i="1" s="1"/>
  <c r="W595" i="1"/>
  <c r="V595" i="1"/>
  <c r="V596" i="1" s="1"/>
  <c r="U595" i="1"/>
  <c r="U596" i="1" s="1"/>
  <c r="T595" i="1"/>
  <c r="T596" i="1" s="1"/>
  <c r="S595" i="1"/>
  <c r="S596" i="1" s="1"/>
  <c r="AE594" i="1"/>
  <c r="AE593" i="1"/>
  <c r="AD590" i="1"/>
  <c r="AC590" i="1"/>
  <c r="AB590" i="1"/>
  <c r="AA590" i="1"/>
  <c r="Z590" i="1"/>
  <c r="Y590" i="1"/>
  <c r="X590" i="1"/>
  <c r="W590" i="1"/>
  <c r="V590" i="1"/>
  <c r="U590" i="1"/>
  <c r="T590" i="1"/>
  <c r="S590" i="1"/>
  <c r="AE589" i="1"/>
  <c r="AE588" i="1"/>
  <c r="AE587" i="1"/>
  <c r="AE590" i="1" s="1"/>
  <c r="AC584" i="1"/>
  <c r="AB584" i="1"/>
  <c r="AA584" i="1"/>
  <c r="Z584" i="1"/>
  <c r="Y584" i="1"/>
  <c r="X584" i="1"/>
  <c r="W584" i="1"/>
  <c r="V584" i="1"/>
  <c r="U584" i="1"/>
  <c r="T584" i="1"/>
  <c r="S584" i="1"/>
  <c r="AD583" i="1"/>
  <c r="AE583" i="1" s="1"/>
  <c r="AE582" i="1"/>
  <c r="AE581" i="1"/>
  <c r="AD577" i="1"/>
  <c r="AD578" i="1" s="1"/>
  <c r="AC577" i="1"/>
  <c r="AC578" i="1" s="1"/>
  <c r="AB577" i="1"/>
  <c r="AB578" i="1" s="1"/>
  <c r="AA577" i="1"/>
  <c r="AA578" i="1" s="1"/>
  <c r="Z577" i="1"/>
  <c r="Z578" i="1" s="1"/>
  <c r="Y577" i="1"/>
  <c r="Y578" i="1" s="1"/>
  <c r="X577" i="1"/>
  <c r="X578" i="1" s="1"/>
  <c r="W577" i="1"/>
  <c r="W578" i="1" s="1"/>
  <c r="V577" i="1"/>
  <c r="V578" i="1" s="1"/>
  <c r="U577" i="1"/>
  <c r="U578" i="1" s="1"/>
  <c r="T577" i="1"/>
  <c r="T578" i="1" s="1"/>
  <c r="S577" i="1"/>
  <c r="S578" i="1" s="1"/>
  <c r="AE576" i="1"/>
  <c r="AE575" i="1"/>
  <c r="AD571" i="1"/>
  <c r="AD572" i="1" s="1"/>
  <c r="AC571" i="1"/>
  <c r="AC572" i="1" s="1"/>
  <c r="AB571" i="1"/>
  <c r="AB572" i="1" s="1"/>
  <c r="AA571" i="1"/>
  <c r="AA572" i="1" s="1"/>
  <c r="Z571" i="1"/>
  <c r="Z572" i="1" s="1"/>
  <c r="Y571" i="1"/>
  <c r="Y572" i="1" s="1"/>
  <c r="X571" i="1"/>
  <c r="X572" i="1" s="1"/>
  <c r="W571" i="1"/>
  <c r="V571" i="1"/>
  <c r="V572" i="1" s="1"/>
  <c r="U571" i="1"/>
  <c r="U572" i="1" s="1"/>
  <c r="T571" i="1"/>
  <c r="T572" i="1" s="1"/>
  <c r="S571" i="1"/>
  <c r="S572" i="1" s="1"/>
  <c r="AE570" i="1"/>
  <c r="AE569" i="1"/>
  <c r="V566" i="1"/>
  <c r="AD565" i="1"/>
  <c r="AD566" i="1" s="1"/>
  <c r="AC565" i="1"/>
  <c r="AC566" i="1" s="1"/>
  <c r="AB565" i="1"/>
  <c r="AB566" i="1" s="1"/>
  <c r="AA565" i="1"/>
  <c r="AA566" i="1" s="1"/>
  <c r="Z565" i="1"/>
  <c r="Z566" i="1" s="1"/>
  <c r="Y565" i="1"/>
  <c r="Y566" i="1" s="1"/>
  <c r="X565" i="1"/>
  <c r="X566" i="1" s="1"/>
  <c r="W565" i="1"/>
  <c r="W566" i="1" s="1"/>
  <c r="V565" i="1"/>
  <c r="U565" i="1"/>
  <c r="U566" i="1" s="1"/>
  <c r="T565" i="1"/>
  <c r="T566" i="1" s="1"/>
  <c r="S565" i="1"/>
  <c r="S566" i="1" s="1"/>
  <c r="AE564" i="1"/>
  <c r="AE563" i="1"/>
  <c r="AC560" i="1"/>
  <c r="AB560" i="1"/>
  <c r="AA560" i="1"/>
  <c r="Z560" i="1"/>
  <c r="Y560" i="1"/>
  <c r="X560" i="1"/>
  <c r="W560" i="1"/>
  <c r="V560" i="1"/>
  <c r="U560" i="1"/>
  <c r="T560" i="1"/>
  <c r="S560" i="1"/>
  <c r="AD559" i="1"/>
  <c r="AD560" i="1" s="1"/>
  <c r="AE558" i="1"/>
  <c r="AE557" i="1"/>
  <c r="AA554" i="1"/>
  <c r="AD553" i="1"/>
  <c r="AD554" i="1" s="1"/>
  <c r="AC553" i="1"/>
  <c r="AC554" i="1" s="1"/>
  <c r="AB553" i="1"/>
  <c r="AB554" i="1" s="1"/>
  <c r="AA553" i="1"/>
  <c r="Z553" i="1"/>
  <c r="Z554" i="1" s="1"/>
  <c r="Y553" i="1"/>
  <c r="Y554" i="1" s="1"/>
  <c r="X553" i="1"/>
  <c r="X554" i="1" s="1"/>
  <c r="W553" i="1"/>
  <c r="W554" i="1" s="1"/>
  <c r="V553" i="1"/>
  <c r="V554" i="1" s="1"/>
  <c r="U553" i="1"/>
  <c r="U554" i="1" s="1"/>
  <c r="T553" i="1"/>
  <c r="T554" i="1" s="1"/>
  <c r="S553" i="1"/>
  <c r="S554" i="1" s="1"/>
  <c r="AE552" i="1"/>
  <c r="AE551" i="1"/>
  <c r="AA548" i="1"/>
  <c r="AD547" i="1"/>
  <c r="AD548" i="1" s="1"/>
  <c r="AC547" i="1"/>
  <c r="AC548" i="1" s="1"/>
  <c r="AB547" i="1"/>
  <c r="AB548" i="1" s="1"/>
  <c r="AA547" i="1"/>
  <c r="Z547" i="1"/>
  <c r="Z548" i="1" s="1"/>
  <c r="Y547" i="1"/>
  <c r="Y548" i="1" s="1"/>
  <c r="X547" i="1"/>
  <c r="X548" i="1" s="1"/>
  <c r="W547" i="1"/>
  <c r="W548" i="1" s="1"/>
  <c r="V547" i="1"/>
  <c r="V548" i="1" s="1"/>
  <c r="U547" i="1"/>
  <c r="U548" i="1" s="1"/>
  <c r="T547" i="1"/>
  <c r="T548" i="1" s="1"/>
  <c r="S547" i="1"/>
  <c r="S548" i="1" s="1"/>
  <c r="AE546" i="1"/>
  <c r="AE545" i="1"/>
  <c r="S542" i="1"/>
  <c r="AD541" i="1"/>
  <c r="AD542" i="1" s="1"/>
  <c r="AC541" i="1"/>
  <c r="AC542" i="1" s="1"/>
  <c r="AB541" i="1"/>
  <c r="AB542" i="1" s="1"/>
  <c r="AA541" i="1"/>
  <c r="AA542" i="1" s="1"/>
  <c r="Z541" i="1"/>
  <c r="Z542" i="1" s="1"/>
  <c r="Y541" i="1"/>
  <c r="Y542" i="1" s="1"/>
  <c r="X541" i="1"/>
  <c r="X542" i="1" s="1"/>
  <c r="W541" i="1"/>
  <c r="W542" i="1" s="1"/>
  <c r="V541" i="1"/>
  <c r="V542" i="1" s="1"/>
  <c r="U541" i="1"/>
  <c r="U542" i="1" s="1"/>
  <c r="T541" i="1"/>
  <c r="T542" i="1" s="1"/>
  <c r="S541" i="1"/>
  <c r="AE540" i="1"/>
  <c r="AE539" i="1"/>
  <c r="AD530" i="1"/>
  <c r="AC530" i="1"/>
  <c r="AB530" i="1"/>
  <c r="AA530" i="1"/>
  <c r="Z530" i="1"/>
  <c r="Y530" i="1"/>
  <c r="X530" i="1"/>
  <c r="W530" i="1"/>
  <c r="V530" i="1"/>
  <c r="U530" i="1"/>
  <c r="T530" i="1"/>
  <c r="S530" i="1"/>
  <c r="AE529" i="1"/>
  <c r="AE528" i="1"/>
  <c r="AE527" i="1"/>
  <c r="Y524" i="1"/>
  <c r="AD523" i="1"/>
  <c r="AD524" i="1" s="1"/>
  <c r="AC523" i="1"/>
  <c r="AC524" i="1" s="1"/>
  <c r="AB523" i="1"/>
  <c r="AB524" i="1" s="1"/>
  <c r="AA523" i="1"/>
  <c r="AA524" i="1" s="1"/>
  <c r="Z523" i="1"/>
  <c r="Z524" i="1" s="1"/>
  <c r="Y523" i="1"/>
  <c r="X523" i="1"/>
  <c r="X524" i="1" s="1"/>
  <c r="W523" i="1"/>
  <c r="W524" i="1" s="1"/>
  <c r="V523" i="1"/>
  <c r="V524" i="1" s="1"/>
  <c r="U523" i="1"/>
  <c r="U524" i="1" s="1"/>
  <c r="T523" i="1"/>
  <c r="T524" i="1" s="1"/>
  <c r="S523" i="1"/>
  <c r="S524" i="1" s="1"/>
  <c r="AE522" i="1"/>
  <c r="AE521" i="1"/>
  <c r="AD518" i="1"/>
  <c r="AC518" i="1"/>
  <c r="AB518" i="1"/>
  <c r="AA518" i="1"/>
  <c r="Z518" i="1"/>
  <c r="Y518" i="1"/>
  <c r="X518" i="1"/>
  <c r="W518" i="1"/>
  <c r="V518" i="1"/>
  <c r="U518" i="1"/>
  <c r="T518" i="1"/>
  <c r="S518" i="1"/>
  <c r="AE517" i="1"/>
  <c r="AE516" i="1"/>
  <c r="AE515" i="1"/>
  <c r="AD512" i="1"/>
  <c r="AC512" i="1"/>
  <c r="AB512" i="1"/>
  <c r="AA512" i="1"/>
  <c r="Z512" i="1"/>
  <c r="Y512" i="1"/>
  <c r="X512" i="1"/>
  <c r="W512" i="1"/>
  <c r="V512" i="1"/>
  <c r="U512" i="1"/>
  <c r="T512" i="1"/>
  <c r="S512" i="1"/>
  <c r="AE511" i="1"/>
  <c r="AE510" i="1"/>
  <c r="AE509" i="1"/>
  <c r="AD500" i="1"/>
  <c r="AC500" i="1"/>
  <c r="AB500" i="1"/>
  <c r="AA500" i="1"/>
  <c r="Z500" i="1"/>
  <c r="Y500" i="1"/>
  <c r="X500" i="1"/>
  <c r="W500" i="1"/>
  <c r="V500" i="1"/>
  <c r="U500" i="1"/>
  <c r="T500" i="1"/>
  <c r="S500" i="1"/>
  <c r="AE499" i="1"/>
  <c r="AE498" i="1"/>
  <c r="AE497" i="1"/>
  <c r="AE500" i="1" s="1"/>
  <c r="AD493" i="1"/>
  <c r="AD494" i="1" s="1"/>
  <c r="AC493" i="1"/>
  <c r="AC494" i="1" s="1"/>
  <c r="AB493" i="1"/>
  <c r="AB494" i="1" s="1"/>
  <c r="AA493" i="1"/>
  <c r="AA494" i="1" s="1"/>
  <c r="Z493" i="1"/>
  <c r="Z494" i="1" s="1"/>
  <c r="Y493" i="1"/>
  <c r="Y494" i="1" s="1"/>
  <c r="X493" i="1"/>
  <c r="X494" i="1" s="1"/>
  <c r="W493" i="1"/>
  <c r="W494" i="1" s="1"/>
  <c r="V493" i="1"/>
  <c r="V494" i="1" s="1"/>
  <c r="U493" i="1"/>
  <c r="U494" i="1" s="1"/>
  <c r="T493" i="1"/>
  <c r="T494" i="1" s="1"/>
  <c r="S493" i="1"/>
  <c r="AE492" i="1"/>
  <c r="AE491" i="1"/>
  <c r="AD487" i="1"/>
  <c r="AD488" i="1" s="1"/>
  <c r="AC487" i="1"/>
  <c r="AC488" i="1" s="1"/>
  <c r="AB487" i="1"/>
  <c r="AB488" i="1" s="1"/>
  <c r="AA487" i="1"/>
  <c r="AA488" i="1" s="1"/>
  <c r="Z487" i="1"/>
  <c r="Z488" i="1" s="1"/>
  <c r="Y487" i="1"/>
  <c r="Y488" i="1" s="1"/>
  <c r="X487" i="1"/>
  <c r="X488" i="1" s="1"/>
  <c r="W487" i="1"/>
  <c r="W488" i="1" s="1"/>
  <c r="V487" i="1"/>
  <c r="V488" i="1" s="1"/>
  <c r="U487" i="1"/>
  <c r="U488" i="1" s="1"/>
  <c r="T487" i="1"/>
  <c r="T488" i="1" s="1"/>
  <c r="S487" i="1"/>
  <c r="S488" i="1" s="1"/>
  <c r="AE486" i="1"/>
  <c r="AE485" i="1"/>
  <c r="AD482" i="1"/>
  <c r="AC482" i="1"/>
  <c r="AB482" i="1"/>
  <c r="AA482" i="1"/>
  <c r="Z482" i="1"/>
  <c r="Y482" i="1"/>
  <c r="X482" i="1"/>
  <c r="W482" i="1"/>
  <c r="V482" i="1"/>
  <c r="U482" i="1"/>
  <c r="T482" i="1"/>
  <c r="S482" i="1"/>
  <c r="AE481" i="1"/>
  <c r="AE480" i="1"/>
  <c r="AE479" i="1"/>
  <c r="AE482" i="1" s="1"/>
  <c r="AD469" i="1"/>
  <c r="AD470" i="1" s="1"/>
  <c r="AC469" i="1"/>
  <c r="AC470" i="1" s="1"/>
  <c r="AB469" i="1"/>
  <c r="AB470" i="1" s="1"/>
  <c r="AA469" i="1"/>
  <c r="AA470" i="1" s="1"/>
  <c r="Z469" i="1"/>
  <c r="Z470" i="1" s="1"/>
  <c r="Y469" i="1"/>
  <c r="Y470" i="1" s="1"/>
  <c r="X469" i="1"/>
  <c r="X470" i="1" s="1"/>
  <c r="W469" i="1"/>
  <c r="W470" i="1" s="1"/>
  <c r="V469" i="1"/>
  <c r="V470" i="1" s="1"/>
  <c r="U469" i="1"/>
  <c r="U470" i="1" s="1"/>
  <c r="T469" i="1"/>
  <c r="T470" i="1" s="1"/>
  <c r="S469" i="1"/>
  <c r="S470" i="1" s="1"/>
  <c r="AE468" i="1"/>
  <c r="AE467" i="1"/>
  <c r="AD458" i="1"/>
  <c r="AC458" i="1"/>
  <c r="AB458" i="1"/>
  <c r="AA458" i="1"/>
  <c r="Z458" i="1"/>
  <c r="Y458" i="1"/>
  <c r="X458" i="1"/>
  <c r="W458" i="1"/>
  <c r="V458" i="1"/>
  <c r="U458" i="1"/>
  <c r="T458" i="1"/>
  <c r="S458" i="1"/>
  <c r="AE457" i="1"/>
  <c r="AE456" i="1"/>
  <c r="AE455" i="1"/>
  <c r="AD452" i="1"/>
  <c r="AC452" i="1"/>
  <c r="AB452" i="1"/>
  <c r="AA452" i="1"/>
  <c r="Z452" i="1"/>
  <c r="Y452" i="1"/>
  <c r="X452" i="1"/>
  <c r="W452" i="1"/>
  <c r="V452" i="1"/>
  <c r="U452" i="1"/>
  <c r="T452" i="1"/>
  <c r="S452" i="1"/>
  <c r="AE451" i="1"/>
  <c r="AE450" i="1"/>
  <c r="AE449" i="1"/>
  <c r="AD446" i="1"/>
  <c r="AC446" i="1"/>
  <c r="AB446" i="1"/>
  <c r="AA446" i="1"/>
  <c r="Z446" i="1"/>
  <c r="Y446" i="1"/>
  <c r="X446" i="1"/>
  <c r="W446" i="1"/>
  <c r="V446" i="1"/>
  <c r="U446" i="1"/>
  <c r="T446" i="1"/>
  <c r="S446" i="1"/>
  <c r="AE445" i="1"/>
  <c r="AE444" i="1"/>
  <c r="AE443" i="1"/>
  <c r="AD440" i="1"/>
  <c r="AC440" i="1"/>
  <c r="AB440" i="1"/>
  <c r="AA440" i="1"/>
  <c r="Z440" i="1"/>
  <c r="Y440" i="1"/>
  <c r="X440" i="1"/>
  <c r="W440" i="1"/>
  <c r="V440" i="1"/>
  <c r="U440" i="1"/>
  <c r="T440" i="1"/>
  <c r="S440" i="1"/>
  <c r="AE439" i="1"/>
  <c r="AE438" i="1"/>
  <c r="AE440" i="1" s="1"/>
  <c r="AE437" i="1"/>
  <c r="AD434" i="1"/>
  <c r="AC434" i="1"/>
  <c r="AB434" i="1"/>
  <c r="AA434" i="1"/>
  <c r="Z434" i="1"/>
  <c r="Y434" i="1"/>
  <c r="X434" i="1"/>
  <c r="W434" i="1"/>
  <c r="V434" i="1"/>
  <c r="U434" i="1"/>
  <c r="T434" i="1"/>
  <c r="S434" i="1"/>
  <c r="AE433" i="1"/>
  <c r="AE432" i="1"/>
  <c r="AE431" i="1"/>
  <c r="AD427" i="1"/>
  <c r="AD428" i="1" s="1"/>
  <c r="AC427" i="1"/>
  <c r="AC428" i="1" s="1"/>
  <c r="AB427" i="1"/>
  <c r="AB428" i="1" s="1"/>
  <c r="AA427" i="1"/>
  <c r="AA428" i="1" s="1"/>
  <c r="Z427" i="1"/>
  <c r="Z428" i="1" s="1"/>
  <c r="Y427" i="1"/>
  <c r="Y428" i="1" s="1"/>
  <c r="X427" i="1"/>
  <c r="X428" i="1" s="1"/>
  <c r="W427" i="1"/>
  <c r="W428" i="1" s="1"/>
  <c r="V427" i="1"/>
  <c r="V428" i="1" s="1"/>
  <c r="U427" i="1"/>
  <c r="U428" i="1" s="1"/>
  <c r="T427" i="1"/>
  <c r="T428" i="1" s="1"/>
  <c r="S427" i="1"/>
  <c r="S428" i="1" s="1"/>
  <c r="AE426" i="1"/>
  <c r="AE425" i="1"/>
  <c r="AD422" i="1"/>
  <c r="AC422" i="1"/>
  <c r="AB422" i="1"/>
  <c r="AA422" i="1"/>
  <c r="Z422" i="1"/>
  <c r="Y422" i="1"/>
  <c r="X422" i="1"/>
  <c r="W422" i="1"/>
  <c r="V422" i="1"/>
  <c r="U422" i="1"/>
  <c r="T422" i="1"/>
  <c r="S422" i="1"/>
  <c r="AE421" i="1"/>
  <c r="AE420" i="1"/>
  <c r="AE419" i="1"/>
  <c r="AD416" i="1"/>
  <c r="AC416" i="1"/>
  <c r="AB416" i="1"/>
  <c r="AA416" i="1"/>
  <c r="Z416" i="1"/>
  <c r="Y416" i="1"/>
  <c r="X416" i="1"/>
  <c r="W416" i="1"/>
  <c r="V416" i="1"/>
  <c r="U416" i="1"/>
  <c r="T416" i="1"/>
  <c r="S416" i="1"/>
  <c r="AE415" i="1"/>
  <c r="AE414" i="1"/>
  <c r="AE413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AE379" i="1"/>
  <c r="AE378" i="1"/>
  <c r="AE377" i="1"/>
  <c r="AD373" i="1"/>
  <c r="AD374" i="1" s="1"/>
  <c r="AC373" i="1"/>
  <c r="AC374" i="1" s="1"/>
  <c r="AB373" i="1"/>
  <c r="AB374" i="1" s="1"/>
  <c r="AA373" i="1"/>
  <c r="AA374" i="1" s="1"/>
  <c r="Z373" i="1"/>
  <c r="Z374" i="1" s="1"/>
  <c r="Y373" i="1"/>
  <c r="Y374" i="1" s="1"/>
  <c r="X373" i="1"/>
  <c r="X374" i="1" s="1"/>
  <c r="W373" i="1"/>
  <c r="W374" i="1" s="1"/>
  <c r="V373" i="1"/>
  <c r="V374" i="1" s="1"/>
  <c r="U373" i="1"/>
  <c r="U374" i="1" s="1"/>
  <c r="T373" i="1"/>
  <c r="T374" i="1" s="1"/>
  <c r="S373" i="1"/>
  <c r="S374" i="1" s="1"/>
  <c r="AE372" i="1"/>
  <c r="AE371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AE367" i="1"/>
  <c r="AE366" i="1"/>
  <c r="AE368" i="1" s="1"/>
  <c r="AE365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AE361" i="1"/>
  <c r="AE360" i="1"/>
  <c r="AE359" i="1"/>
  <c r="U356" i="1"/>
  <c r="AD355" i="1"/>
  <c r="AD356" i="1" s="1"/>
  <c r="AC355" i="1"/>
  <c r="AC356" i="1" s="1"/>
  <c r="AB355" i="1"/>
  <c r="AB356" i="1" s="1"/>
  <c r="AA355" i="1"/>
  <c r="AA356" i="1" s="1"/>
  <c r="Z355" i="1"/>
  <c r="Z356" i="1" s="1"/>
  <c r="Y355" i="1"/>
  <c r="Y356" i="1" s="1"/>
  <c r="X355" i="1"/>
  <c r="X356" i="1" s="1"/>
  <c r="W355" i="1"/>
  <c r="W356" i="1" s="1"/>
  <c r="V355" i="1"/>
  <c r="V356" i="1" s="1"/>
  <c r="U355" i="1"/>
  <c r="T355" i="1"/>
  <c r="T356" i="1" s="1"/>
  <c r="S355" i="1"/>
  <c r="S356" i="1" s="1"/>
  <c r="AE354" i="1"/>
  <c r="AE353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AE331" i="1"/>
  <c r="AE330" i="1"/>
  <c r="AE329" i="1"/>
  <c r="AC326" i="1"/>
  <c r="U326" i="1"/>
  <c r="AD325" i="1"/>
  <c r="AD326" i="1" s="1"/>
  <c r="AC325" i="1"/>
  <c r="AB325" i="1"/>
  <c r="AB326" i="1" s="1"/>
  <c r="AA325" i="1"/>
  <c r="AA326" i="1" s="1"/>
  <c r="Z325" i="1"/>
  <c r="Z326" i="1" s="1"/>
  <c r="Y325" i="1"/>
  <c r="Y326" i="1" s="1"/>
  <c r="X325" i="1"/>
  <c r="X326" i="1" s="1"/>
  <c r="W325" i="1"/>
  <c r="W326" i="1" s="1"/>
  <c r="V325" i="1"/>
  <c r="V326" i="1" s="1"/>
  <c r="U325" i="1"/>
  <c r="T325" i="1"/>
  <c r="T326" i="1" s="1"/>
  <c r="S325" i="1"/>
  <c r="S326" i="1" s="1"/>
  <c r="AE324" i="1"/>
  <c r="AE323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AE319" i="1"/>
  <c r="AE318" i="1"/>
  <c r="AE320" i="1" s="1"/>
  <c r="AE317" i="1"/>
  <c r="AD313" i="1"/>
  <c r="AD314" i="1" s="1"/>
  <c r="AC313" i="1"/>
  <c r="AC314" i="1" s="1"/>
  <c r="AB313" i="1"/>
  <c r="AB314" i="1" s="1"/>
  <c r="AA313" i="1"/>
  <c r="AA314" i="1" s="1"/>
  <c r="Z313" i="1"/>
  <c r="Z314" i="1" s="1"/>
  <c r="Y313" i="1"/>
  <c r="Y314" i="1" s="1"/>
  <c r="X313" i="1"/>
  <c r="X314" i="1" s="1"/>
  <c r="W313" i="1"/>
  <c r="W314" i="1" s="1"/>
  <c r="V313" i="1"/>
  <c r="V314" i="1" s="1"/>
  <c r="U313" i="1"/>
  <c r="U314" i="1" s="1"/>
  <c r="T313" i="1"/>
  <c r="T314" i="1" s="1"/>
  <c r="S313" i="1"/>
  <c r="S314" i="1" s="1"/>
  <c r="AE312" i="1"/>
  <c r="AE311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AE307" i="1"/>
  <c r="AE306" i="1"/>
  <c r="AE305" i="1"/>
  <c r="AE308" i="1" s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AE295" i="1"/>
  <c r="AE294" i="1"/>
  <c r="AE293" i="1"/>
  <c r="AD289" i="1"/>
  <c r="AD290" i="1" s="1"/>
  <c r="AC289" i="1"/>
  <c r="AC290" i="1" s="1"/>
  <c r="AB289" i="1"/>
  <c r="AB290" i="1" s="1"/>
  <c r="AA289" i="1"/>
  <c r="AA290" i="1" s="1"/>
  <c r="Z289" i="1"/>
  <c r="Z290" i="1" s="1"/>
  <c r="Y289" i="1"/>
  <c r="Y290" i="1" s="1"/>
  <c r="X289" i="1"/>
  <c r="X290" i="1" s="1"/>
  <c r="W289" i="1"/>
  <c r="W290" i="1" s="1"/>
  <c r="V289" i="1"/>
  <c r="V290" i="1" s="1"/>
  <c r="U289" i="1"/>
  <c r="U290" i="1" s="1"/>
  <c r="T289" i="1"/>
  <c r="T290" i="1" s="1"/>
  <c r="S289" i="1"/>
  <c r="S290" i="1" s="1"/>
  <c r="AE288" i="1"/>
  <c r="AE287" i="1"/>
  <c r="AD283" i="1"/>
  <c r="AD284" i="1" s="1"/>
  <c r="AC283" i="1"/>
  <c r="AC284" i="1" s="1"/>
  <c r="AB283" i="1"/>
  <c r="AB284" i="1" s="1"/>
  <c r="AA283" i="1"/>
  <c r="AA284" i="1" s="1"/>
  <c r="Z283" i="1"/>
  <c r="Z284" i="1" s="1"/>
  <c r="Y283" i="1"/>
  <c r="Y284" i="1" s="1"/>
  <c r="X283" i="1"/>
  <c r="X284" i="1" s="1"/>
  <c r="W283" i="1"/>
  <c r="W284" i="1" s="1"/>
  <c r="V283" i="1"/>
  <c r="V284" i="1" s="1"/>
  <c r="U283" i="1"/>
  <c r="U284" i="1" s="1"/>
  <c r="T283" i="1"/>
  <c r="T284" i="1" s="1"/>
  <c r="S283" i="1"/>
  <c r="AE282" i="1"/>
  <c r="AE281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AE277" i="1"/>
  <c r="S277" i="1"/>
  <c r="AE276" i="1"/>
  <c r="AE275" i="1"/>
  <c r="AD260" i="1"/>
  <c r="AD259" i="1"/>
  <c r="AC259" i="1"/>
  <c r="AC260" i="1" s="1"/>
  <c r="AB259" i="1"/>
  <c r="AB260" i="1" s="1"/>
  <c r="AA259" i="1"/>
  <c r="AA260" i="1" s="1"/>
  <c r="Z259" i="1"/>
  <c r="Z260" i="1" s="1"/>
  <c r="Y259" i="1"/>
  <c r="Y260" i="1" s="1"/>
  <c r="X259" i="1"/>
  <c r="X260" i="1" s="1"/>
  <c r="W259" i="1"/>
  <c r="W260" i="1" s="1"/>
  <c r="V259" i="1"/>
  <c r="V260" i="1" s="1"/>
  <c r="U259" i="1"/>
  <c r="U260" i="1" s="1"/>
  <c r="T259" i="1"/>
  <c r="T260" i="1" s="1"/>
  <c r="S259" i="1"/>
  <c r="AE258" i="1"/>
  <c r="AE257" i="1"/>
  <c r="AD253" i="1"/>
  <c r="AD254" i="1" s="1"/>
  <c r="AC253" i="1"/>
  <c r="AC254" i="1" s="1"/>
  <c r="AB253" i="1"/>
  <c r="AB254" i="1" s="1"/>
  <c r="AA253" i="1"/>
  <c r="AA254" i="1" s="1"/>
  <c r="Z253" i="1"/>
  <c r="Z254" i="1" s="1"/>
  <c r="Y253" i="1"/>
  <c r="Y254" i="1" s="1"/>
  <c r="X253" i="1"/>
  <c r="X254" i="1" s="1"/>
  <c r="W253" i="1"/>
  <c r="V253" i="1"/>
  <c r="V254" i="1" s="1"/>
  <c r="U253" i="1"/>
  <c r="U254" i="1" s="1"/>
  <c r="T253" i="1"/>
  <c r="T254" i="1" s="1"/>
  <c r="S253" i="1"/>
  <c r="S254" i="1" s="1"/>
  <c r="AE252" i="1"/>
  <c r="AE251" i="1"/>
  <c r="T248" i="1"/>
  <c r="AD247" i="1"/>
  <c r="AD248" i="1" s="1"/>
  <c r="AC247" i="1"/>
  <c r="AC248" i="1" s="1"/>
  <c r="AB247" i="1"/>
  <c r="AB248" i="1" s="1"/>
  <c r="AA247" i="1"/>
  <c r="AA248" i="1" s="1"/>
  <c r="Z247" i="1"/>
  <c r="Z248" i="1" s="1"/>
  <c r="Y247" i="1"/>
  <c r="Y248" i="1" s="1"/>
  <c r="X247" i="1"/>
  <c r="X248" i="1" s="1"/>
  <c r="W247" i="1"/>
  <c r="W248" i="1" s="1"/>
  <c r="V247" i="1"/>
  <c r="V248" i="1" s="1"/>
  <c r="U247" i="1"/>
  <c r="U248" i="1" s="1"/>
  <c r="T247" i="1"/>
  <c r="S247" i="1"/>
  <c r="S248" i="1" s="1"/>
  <c r="AE246" i="1"/>
  <c r="AE245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AE235" i="1"/>
  <c r="AE234" i="1"/>
  <c r="AE233" i="1"/>
  <c r="AD229" i="1"/>
  <c r="AD230" i="1" s="1"/>
  <c r="AC229" i="1"/>
  <c r="AC230" i="1" s="1"/>
  <c r="AB229" i="1"/>
  <c r="AB230" i="1" s="1"/>
  <c r="AA229" i="1"/>
  <c r="AA230" i="1" s="1"/>
  <c r="Z229" i="1"/>
  <c r="Z230" i="1" s="1"/>
  <c r="Y229" i="1"/>
  <c r="Y230" i="1" s="1"/>
  <c r="X229" i="1"/>
  <c r="X230" i="1" s="1"/>
  <c r="W229" i="1"/>
  <c r="W230" i="1" s="1"/>
  <c r="V229" i="1"/>
  <c r="V230" i="1" s="1"/>
  <c r="U229" i="1"/>
  <c r="U230" i="1" s="1"/>
  <c r="T229" i="1"/>
  <c r="T230" i="1" s="1"/>
  <c r="S229" i="1"/>
  <c r="S230" i="1" s="1"/>
  <c r="AE228" i="1"/>
  <c r="AE227" i="1"/>
  <c r="S224" i="1"/>
  <c r="AD223" i="1"/>
  <c r="AD224" i="1" s="1"/>
  <c r="AC223" i="1"/>
  <c r="AC224" i="1" s="1"/>
  <c r="AB223" i="1"/>
  <c r="AB224" i="1" s="1"/>
  <c r="AA223" i="1"/>
  <c r="AA224" i="1" s="1"/>
  <c r="Z223" i="1"/>
  <c r="Z224" i="1" s="1"/>
  <c r="Y223" i="1"/>
  <c r="Y224" i="1" s="1"/>
  <c r="X223" i="1"/>
  <c r="X224" i="1" s="1"/>
  <c r="W223" i="1"/>
  <c r="W224" i="1" s="1"/>
  <c r="V223" i="1"/>
  <c r="V224" i="1" s="1"/>
  <c r="U223" i="1"/>
  <c r="U224" i="1" s="1"/>
  <c r="T223" i="1"/>
  <c r="T224" i="1" s="1"/>
  <c r="S223" i="1"/>
  <c r="AE222" i="1"/>
  <c r="AE221" i="1"/>
  <c r="AD217" i="1"/>
  <c r="AD218" i="1" s="1"/>
  <c r="AC217" i="1"/>
  <c r="AC218" i="1" s="1"/>
  <c r="AB217" i="1"/>
  <c r="AB218" i="1" s="1"/>
  <c r="AA217" i="1"/>
  <c r="AA218" i="1" s="1"/>
  <c r="Z217" i="1"/>
  <c r="Z218" i="1" s="1"/>
  <c r="Y217" i="1"/>
  <c r="Y218" i="1" s="1"/>
  <c r="X217" i="1"/>
  <c r="X218" i="1" s="1"/>
  <c r="W217" i="1"/>
  <c r="W218" i="1" s="1"/>
  <c r="V217" i="1"/>
  <c r="V218" i="1" s="1"/>
  <c r="U217" i="1"/>
  <c r="U218" i="1" s="1"/>
  <c r="T217" i="1"/>
  <c r="T218" i="1" s="1"/>
  <c r="S217" i="1"/>
  <c r="S218" i="1" s="1"/>
  <c r="AE216" i="1"/>
  <c r="AE215" i="1"/>
  <c r="AD205" i="1"/>
  <c r="AD206" i="1" s="1"/>
  <c r="AC205" i="1"/>
  <c r="AC206" i="1" s="1"/>
  <c r="AB205" i="1"/>
  <c r="AB206" i="1" s="1"/>
  <c r="AA205" i="1"/>
  <c r="AA206" i="1" s="1"/>
  <c r="Z205" i="1"/>
  <c r="Z206" i="1" s="1"/>
  <c r="Y205" i="1"/>
  <c r="Y206" i="1" s="1"/>
  <c r="X205" i="1"/>
  <c r="X206" i="1" s="1"/>
  <c r="W205" i="1"/>
  <c r="W206" i="1" s="1"/>
  <c r="V205" i="1"/>
  <c r="V206" i="1" s="1"/>
  <c r="U205" i="1"/>
  <c r="U206" i="1" s="1"/>
  <c r="T205" i="1"/>
  <c r="T206" i="1" s="1"/>
  <c r="S205" i="1"/>
  <c r="S206" i="1" s="1"/>
  <c r="AE204" i="1"/>
  <c r="AE203" i="1"/>
  <c r="AD199" i="1"/>
  <c r="AD200" i="1" s="1"/>
  <c r="AC199" i="1"/>
  <c r="AC200" i="1" s="1"/>
  <c r="AB199" i="1"/>
  <c r="AB200" i="1" s="1"/>
  <c r="AA199" i="1"/>
  <c r="AA200" i="1" s="1"/>
  <c r="Z199" i="1"/>
  <c r="Z200" i="1" s="1"/>
  <c r="Y199" i="1"/>
  <c r="Y200" i="1" s="1"/>
  <c r="X199" i="1"/>
  <c r="X200" i="1" s="1"/>
  <c r="W199" i="1"/>
  <c r="W200" i="1" s="1"/>
  <c r="V199" i="1"/>
  <c r="V200" i="1" s="1"/>
  <c r="U199" i="1"/>
  <c r="U200" i="1" s="1"/>
  <c r="T199" i="1"/>
  <c r="T200" i="1" s="1"/>
  <c r="S199" i="1"/>
  <c r="S200" i="1" s="1"/>
  <c r="AE198" i="1"/>
  <c r="AE197" i="1"/>
  <c r="AB194" i="1"/>
  <c r="AA194" i="1"/>
  <c r="Z194" i="1"/>
  <c r="Y194" i="1"/>
  <c r="X194" i="1"/>
  <c r="W194" i="1"/>
  <c r="V194" i="1"/>
  <c r="U194" i="1"/>
  <c r="T194" i="1"/>
  <c r="S194" i="1"/>
  <c r="AD193" i="1"/>
  <c r="AD194" i="1" s="1"/>
  <c r="AC193" i="1"/>
  <c r="AC194" i="1" s="1"/>
  <c r="AE192" i="1"/>
  <c r="AE191" i="1"/>
  <c r="AD187" i="1"/>
  <c r="AD188" i="1" s="1"/>
  <c r="AC187" i="1"/>
  <c r="AC188" i="1" s="1"/>
  <c r="AB187" i="1"/>
  <c r="AB188" i="1" s="1"/>
  <c r="AA187" i="1"/>
  <c r="AA188" i="1" s="1"/>
  <c r="Z187" i="1"/>
  <c r="Z188" i="1" s="1"/>
  <c r="Y187" i="1"/>
  <c r="Y188" i="1" s="1"/>
  <c r="X187" i="1"/>
  <c r="X188" i="1" s="1"/>
  <c r="W187" i="1"/>
  <c r="W188" i="1" s="1"/>
  <c r="V187" i="1"/>
  <c r="V188" i="1" s="1"/>
  <c r="U187" i="1"/>
  <c r="U188" i="1" s="1"/>
  <c r="T187" i="1"/>
  <c r="T188" i="1" s="1"/>
  <c r="S187" i="1"/>
  <c r="S188" i="1" s="1"/>
  <c r="AE186" i="1"/>
  <c r="AE185" i="1"/>
  <c r="AD181" i="1"/>
  <c r="AD182" i="1" s="1"/>
  <c r="AC181" i="1"/>
  <c r="AC182" i="1" s="1"/>
  <c r="AB181" i="1"/>
  <c r="AB182" i="1" s="1"/>
  <c r="AA181" i="1"/>
  <c r="AA182" i="1" s="1"/>
  <c r="Z181" i="1"/>
  <c r="Z182" i="1" s="1"/>
  <c r="Y181" i="1"/>
  <c r="Y182" i="1" s="1"/>
  <c r="X181" i="1"/>
  <c r="X182" i="1" s="1"/>
  <c r="W181" i="1"/>
  <c r="W182" i="1" s="1"/>
  <c r="V181" i="1"/>
  <c r="V182" i="1" s="1"/>
  <c r="U181" i="1"/>
  <c r="U182" i="1" s="1"/>
  <c r="T181" i="1"/>
  <c r="T182" i="1" s="1"/>
  <c r="S181" i="1"/>
  <c r="S182" i="1" s="1"/>
  <c r="AE180" i="1"/>
  <c r="AE179" i="1"/>
  <c r="AD175" i="1"/>
  <c r="AD176" i="1" s="1"/>
  <c r="AC175" i="1"/>
  <c r="AC176" i="1" s="1"/>
  <c r="AB175" i="1"/>
  <c r="AB176" i="1" s="1"/>
  <c r="AA175" i="1"/>
  <c r="AA176" i="1" s="1"/>
  <c r="Z175" i="1"/>
  <c r="Z176" i="1" s="1"/>
  <c r="Y175" i="1"/>
  <c r="Y176" i="1" s="1"/>
  <c r="X175" i="1"/>
  <c r="X176" i="1" s="1"/>
  <c r="W175" i="1"/>
  <c r="W176" i="1" s="1"/>
  <c r="V175" i="1"/>
  <c r="V176" i="1" s="1"/>
  <c r="U175" i="1"/>
  <c r="U176" i="1" s="1"/>
  <c r="T175" i="1"/>
  <c r="T176" i="1" s="1"/>
  <c r="S175" i="1"/>
  <c r="S176" i="1" s="1"/>
  <c r="AE174" i="1"/>
  <c r="AE173" i="1"/>
  <c r="AD163" i="1"/>
  <c r="AD164" i="1" s="1"/>
  <c r="AC163" i="1"/>
  <c r="AC164" i="1" s="1"/>
  <c r="AB163" i="1"/>
  <c r="AB164" i="1" s="1"/>
  <c r="AA163" i="1"/>
  <c r="AA164" i="1" s="1"/>
  <c r="Z163" i="1"/>
  <c r="Z164" i="1" s="1"/>
  <c r="Y163" i="1"/>
  <c r="Y164" i="1" s="1"/>
  <c r="X163" i="1"/>
  <c r="X164" i="1" s="1"/>
  <c r="W163" i="1"/>
  <c r="W164" i="1" s="1"/>
  <c r="V163" i="1"/>
  <c r="V164" i="1" s="1"/>
  <c r="U163" i="1"/>
  <c r="U164" i="1" s="1"/>
  <c r="T163" i="1"/>
  <c r="T164" i="1" s="1"/>
  <c r="S163" i="1"/>
  <c r="S164" i="1" s="1"/>
  <c r="AE162" i="1"/>
  <c r="AE161" i="1"/>
  <c r="AB158" i="1"/>
  <c r="T158" i="1"/>
  <c r="AD157" i="1"/>
  <c r="AD158" i="1" s="1"/>
  <c r="AC157" i="1"/>
  <c r="AC158" i="1" s="1"/>
  <c r="AB157" i="1"/>
  <c r="AA157" i="1"/>
  <c r="AA158" i="1" s="1"/>
  <c r="Z157" i="1"/>
  <c r="Z158" i="1" s="1"/>
  <c r="Y157" i="1"/>
  <c r="Y158" i="1" s="1"/>
  <c r="X157" i="1"/>
  <c r="X158" i="1" s="1"/>
  <c r="W157" i="1"/>
  <c r="W158" i="1" s="1"/>
  <c r="V157" i="1"/>
  <c r="V158" i="1" s="1"/>
  <c r="U157" i="1"/>
  <c r="U158" i="1" s="1"/>
  <c r="T157" i="1"/>
  <c r="S157" i="1"/>
  <c r="S158" i="1" s="1"/>
  <c r="AE156" i="1"/>
  <c r="AE155" i="1"/>
  <c r="AD151" i="1"/>
  <c r="AD152" i="1" s="1"/>
  <c r="AC151" i="1"/>
  <c r="AC152" i="1" s="1"/>
  <c r="AB151" i="1"/>
  <c r="AB152" i="1" s="1"/>
  <c r="AA151" i="1"/>
  <c r="AA152" i="1" s="1"/>
  <c r="Z151" i="1"/>
  <c r="Z152" i="1" s="1"/>
  <c r="Y151" i="1"/>
  <c r="Y152" i="1" s="1"/>
  <c r="X151" i="1"/>
  <c r="X152" i="1" s="1"/>
  <c r="W151" i="1"/>
  <c r="W152" i="1" s="1"/>
  <c r="V151" i="1"/>
  <c r="V152" i="1" s="1"/>
  <c r="U151" i="1"/>
  <c r="U152" i="1" s="1"/>
  <c r="T151" i="1"/>
  <c r="T152" i="1" s="1"/>
  <c r="S151" i="1"/>
  <c r="S152" i="1" s="1"/>
  <c r="AE150" i="1"/>
  <c r="AE149" i="1"/>
  <c r="AD140" i="1"/>
  <c r="AC140" i="1"/>
  <c r="AB140" i="1"/>
  <c r="AA140" i="1"/>
  <c r="Z140" i="1"/>
  <c r="Y140" i="1"/>
  <c r="X140" i="1"/>
  <c r="W140" i="1"/>
  <c r="U140" i="1"/>
  <c r="V139" i="1"/>
  <c r="V140" i="1" s="1"/>
  <c r="U139" i="1"/>
  <c r="T139" i="1"/>
  <c r="T140" i="1" s="1"/>
  <c r="S139" i="1"/>
  <c r="S140" i="1" s="1"/>
  <c r="AE138" i="1"/>
  <c r="AE137" i="1"/>
  <c r="X134" i="1"/>
  <c r="AD133" i="1"/>
  <c r="AD134" i="1" s="1"/>
  <c r="AC133" i="1"/>
  <c r="AC134" i="1" s="1"/>
  <c r="AB133" i="1"/>
  <c r="AB134" i="1" s="1"/>
  <c r="AA133" i="1"/>
  <c r="AA134" i="1" s="1"/>
  <c r="Z133" i="1"/>
  <c r="Z134" i="1" s="1"/>
  <c r="Y133" i="1"/>
  <c r="Y134" i="1" s="1"/>
  <c r="X133" i="1"/>
  <c r="W133" i="1"/>
  <c r="W134" i="1" s="1"/>
  <c r="V133" i="1"/>
  <c r="V134" i="1" s="1"/>
  <c r="U133" i="1"/>
  <c r="U134" i="1" s="1"/>
  <c r="T133" i="1"/>
  <c r="T134" i="1" s="1"/>
  <c r="S133" i="1"/>
  <c r="S134" i="1" s="1"/>
  <c r="AE132" i="1"/>
  <c r="AE131" i="1"/>
  <c r="AD127" i="1"/>
  <c r="AD128" i="1" s="1"/>
  <c r="AC127" i="1"/>
  <c r="AC128" i="1" s="1"/>
  <c r="AB127" i="1"/>
  <c r="AB128" i="1" s="1"/>
  <c r="AA127" i="1"/>
  <c r="AA128" i="1" s="1"/>
  <c r="Z127" i="1"/>
  <c r="Z128" i="1" s="1"/>
  <c r="Y127" i="1"/>
  <c r="Y128" i="1" s="1"/>
  <c r="X127" i="1"/>
  <c r="X128" i="1" s="1"/>
  <c r="W127" i="1"/>
  <c r="W128" i="1" s="1"/>
  <c r="V127" i="1"/>
  <c r="V128" i="1" s="1"/>
  <c r="U127" i="1"/>
  <c r="U128" i="1" s="1"/>
  <c r="T127" i="1"/>
  <c r="T128" i="1" s="1"/>
  <c r="S127" i="1"/>
  <c r="S128" i="1" s="1"/>
  <c r="AE126" i="1"/>
  <c r="AE125" i="1"/>
  <c r="Y122" i="1"/>
  <c r="AD121" i="1"/>
  <c r="AD122" i="1" s="1"/>
  <c r="AC121" i="1"/>
  <c r="AC122" i="1" s="1"/>
  <c r="AB121" i="1"/>
  <c r="AB122" i="1" s="1"/>
  <c r="AA121" i="1"/>
  <c r="AA122" i="1" s="1"/>
  <c r="Z121" i="1"/>
  <c r="Z122" i="1" s="1"/>
  <c r="Y121" i="1"/>
  <c r="X121" i="1"/>
  <c r="X122" i="1" s="1"/>
  <c r="W121" i="1"/>
  <c r="W122" i="1" s="1"/>
  <c r="V121" i="1"/>
  <c r="V122" i="1" s="1"/>
  <c r="U121" i="1"/>
  <c r="U122" i="1" s="1"/>
  <c r="T121" i="1"/>
  <c r="T122" i="1" s="1"/>
  <c r="S121" i="1"/>
  <c r="S122" i="1" s="1"/>
  <c r="AE120" i="1"/>
  <c r="AE119" i="1"/>
  <c r="T116" i="1"/>
  <c r="AD115" i="1"/>
  <c r="AD116" i="1" s="1"/>
  <c r="AC115" i="1"/>
  <c r="AC116" i="1" s="1"/>
  <c r="AB115" i="1"/>
  <c r="AB116" i="1" s="1"/>
  <c r="AA115" i="1"/>
  <c r="AA116" i="1" s="1"/>
  <c r="Z115" i="1"/>
  <c r="Z116" i="1" s="1"/>
  <c r="Y115" i="1"/>
  <c r="Y116" i="1" s="1"/>
  <c r="X115" i="1"/>
  <c r="X116" i="1" s="1"/>
  <c r="W115" i="1"/>
  <c r="W116" i="1" s="1"/>
  <c r="V115" i="1"/>
  <c r="V116" i="1" s="1"/>
  <c r="U115" i="1"/>
  <c r="U116" i="1" s="1"/>
  <c r="T115" i="1"/>
  <c r="S115" i="1"/>
  <c r="S116" i="1" s="1"/>
  <c r="AE114" i="1"/>
  <c r="AE113" i="1"/>
  <c r="AD109" i="1"/>
  <c r="AD110" i="1" s="1"/>
  <c r="AC109" i="1"/>
  <c r="AC110" i="1" s="1"/>
  <c r="AB109" i="1"/>
  <c r="AB110" i="1" s="1"/>
  <c r="AA109" i="1"/>
  <c r="AA110" i="1" s="1"/>
  <c r="Z109" i="1"/>
  <c r="Z110" i="1" s="1"/>
  <c r="Y109" i="1"/>
  <c r="Y110" i="1" s="1"/>
  <c r="X109" i="1"/>
  <c r="X110" i="1" s="1"/>
  <c r="W109" i="1"/>
  <c r="W110" i="1" s="1"/>
  <c r="V109" i="1"/>
  <c r="V110" i="1" s="1"/>
  <c r="U109" i="1"/>
  <c r="U110" i="1" s="1"/>
  <c r="T109" i="1"/>
  <c r="T110" i="1" s="1"/>
  <c r="S109" i="1"/>
  <c r="S110" i="1" s="1"/>
  <c r="AE108" i="1"/>
  <c r="AE107" i="1"/>
  <c r="AD103" i="1"/>
  <c r="AD104" i="1" s="1"/>
  <c r="AC103" i="1"/>
  <c r="AC104" i="1" s="1"/>
  <c r="AB103" i="1"/>
  <c r="AB104" i="1" s="1"/>
  <c r="AA103" i="1"/>
  <c r="AA104" i="1" s="1"/>
  <c r="Z103" i="1"/>
  <c r="Z104" i="1" s="1"/>
  <c r="Y103" i="1"/>
  <c r="Y104" i="1" s="1"/>
  <c r="X103" i="1"/>
  <c r="X104" i="1" s="1"/>
  <c r="W103" i="1"/>
  <c r="W104" i="1" s="1"/>
  <c r="V103" i="1"/>
  <c r="V104" i="1" s="1"/>
  <c r="U103" i="1"/>
  <c r="U104" i="1" s="1"/>
  <c r="T103" i="1"/>
  <c r="T104" i="1" s="1"/>
  <c r="S103" i="1"/>
  <c r="S104" i="1" s="1"/>
  <c r="AE102" i="1"/>
  <c r="AE101" i="1"/>
  <c r="AC98" i="1"/>
  <c r="AB98" i="1"/>
  <c r="AA98" i="1"/>
  <c r="Z98" i="1"/>
  <c r="Y98" i="1"/>
  <c r="X98" i="1"/>
  <c r="W98" i="1"/>
  <c r="V98" i="1"/>
  <c r="U98" i="1"/>
  <c r="T98" i="1"/>
  <c r="S98" i="1"/>
  <c r="AD97" i="1"/>
  <c r="AD98" i="1" s="1"/>
  <c r="AE96" i="1"/>
  <c r="AE95" i="1"/>
  <c r="AD91" i="1"/>
  <c r="AD92" i="1" s="1"/>
  <c r="AC91" i="1"/>
  <c r="AC92" i="1" s="1"/>
  <c r="AB91" i="1"/>
  <c r="AB92" i="1" s="1"/>
  <c r="AA91" i="1"/>
  <c r="AA92" i="1" s="1"/>
  <c r="Z91" i="1"/>
  <c r="Z92" i="1" s="1"/>
  <c r="Y91" i="1"/>
  <c r="Y92" i="1" s="1"/>
  <c r="X91" i="1"/>
  <c r="X92" i="1" s="1"/>
  <c r="W91" i="1"/>
  <c r="W92" i="1" s="1"/>
  <c r="V91" i="1"/>
  <c r="V92" i="1" s="1"/>
  <c r="U91" i="1"/>
  <c r="U92" i="1" s="1"/>
  <c r="T91" i="1"/>
  <c r="T92" i="1" s="1"/>
  <c r="S91" i="1"/>
  <c r="S92" i="1" s="1"/>
  <c r="AE90" i="1"/>
  <c r="AE89" i="1"/>
  <c r="AD85" i="1"/>
  <c r="AD86" i="1" s="1"/>
  <c r="AC85" i="1"/>
  <c r="AC86" i="1" s="1"/>
  <c r="AB85" i="1"/>
  <c r="AB86" i="1" s="1"/>
  <c r="AA85" i="1"/>
  <c r="AA86" i="1" s="1"/>
  <c r="Z85" i="1"/>
  <c r="Z86" i="1" s="1"/>
  <c r="Y85" i="1"/>
  <c r="Y86" i="1" s="1"/>
  <c r="X85" i="1"/>
  <c r="X86" i="1" s="1"/>
  <c r="W85" i="1"/>
  <c r="W86" i="1" s="1"/>
  <c r="V85" i="1"/>
  <c r="V86" i="1" s="1"/>
  <c r="U85" i="1"/>
  <c r="U86" i="1" s="1"/>
  <c r="T85" i="1"/>
  <c r="T86" i="1" s="1"/>
  <c r="S85" i="1"/>
  <c r="S86" i="1" s="1"/>
  <c r="AE84" i="1"/>
  <c r="AE83" i="1"/>
  <c r="Z80" i="1"/>
  <c r="AD79" i="1"/>
  <c r="AD80" i="1" s="1"/>
  <c r="AC79" i="1"/>
  <c r="AC80" i="1" s="1"/>
  <c r="AB79" i="1"/>
  <c r="AB80" i="1" s="1"/>
  <c r="AA79" i="1"/>
  <c r="AA80" i="1" s="1"/>
  <c r="Z79" i="1"/>
  <c r="Y79" i="1"/>
  <c r="Y80" i="1" s="1"/>
  <c r="X79" i="1"/>
  <c r="X80" i="1" s="1"/>
  <c r="W79" i="1"/>
  <c r="W80" i="1" s="1"/>
  <c r="V79" i="1"/>
  <c r="V80" i="1" s="1"/>
  <c r="U79" i="1"/>
  <c r="U80" i="1" s="1"/>
  <c r="T79" i="1"/>
  <c r="T80" i="1" s="1"/>
  <c r="S79" i="1"/>
  <c r="S80" i="1" s="1"/>
  <c r="AE78" i="1"/>
  <c r="AE77" i="1"/>
  <c r="AD73" i="1"/>
  <c r="AD74" i="1" s="1"/>
  <c r="AC73" i="1"/>
  <c r="AC74" i="1" s="1"/>
  <c r="AB73" i="1"/>
  <c r="AB74" i="1" s="1"/>
  <c r="AA73" i="1"/>
  <c r="AA74" i="1" s="1"/>
  <c r="Z73" i="1"/>
  <c r="Z74" i="1" s="1"/>
  <c r="Y73" i="1"/>
  <c r="Y74" i="1" s="1"/>
  <c r="X73" i="1"/>
  <c r="X74" i="1" s="1"/>
  <c r="W73" i="1"/>
  <c r="W74" i="1" s="1"/>
  <c r="V73" i="1"/>
  <c r="V74" i="1" s="1"/>
  <c r="U73" i="1"/>
  <c r="U74" i="1" s="1"/>
  <c r="T73" i="1"/>
  <c r="T74" i="1" s="1"/>
  <c r="S73" i="1"/>
  <c r="S74" i="1" s="1"/>
  <c r="AE72" i="1"/>
  <c r="AE71" i="1"/>
  <c r="Z68" i="1"/>
  <c r="Y68" i="1"/>
  <c r="AD67" i="1"/>
  <c r="AD68" i="1" s="1"/>
  <c r="AC67" i="1"/>
  <c r="AC68" i="1" s="1"/>
  <c r="AB67" i="1"/>
  <c r="AB68" i="1" s="1"/>
  <c r="AA67" i="1"/>
  <c r="AA68" i="1" s="1"/>
  <c r="Z67" i="1"/>
  <c r="Y67" i="1"/>
  <c r="X67" i="1"/>
  <c r="X68" i="1" s="1"/>
  <c r="W67" i="1"/>
  <c r="W68" i="1" s="1"/>
  <c r="V67" i="1"/>
  <c r="V68" i="1" s="1"/>
  <c r="U67" i="1"/>
  <c r="U68" i="1" s="1"/>
  <c r="T67" i="1"/>
  <c r="T68" i="1" s="1"/>
  <c r="S67" i="1"/>
  <c r="S68" i="1" s="1"/>
  <c r="AE66" i="1"/>
  <c r="AE65" i="1"/>
  <c r="AD62" i="1"/>
  <c r="AC61" i="1"/>
  <c r="AC62" i="1" s="1"/>
  <c r="AB61" i="1"/>
  <c r="AB62" i="1" s="1"/>
  <c r="AA61" i="1"/>
  <c r="AA62" i="1" s="1"/>
  <c r="Z61" i="1"/>
  <c r="Z62" i="1" s="1"/>
  <c r="Y61" i="1"/>
  <c r="Y62" i="1" s="1"/>
  <c r="X61" i="1"/>
  <c r="X62" i="1" s="1"/>
  <c r="W61" i="1"/>
  <c r="W62" i="1" s="1"/>
  <c r="V61" i="1"/>
  <c r="V62" i="1" s="1"/>
  <c r="U61" i="1"/>
  <c r="U62" i="1" s="1"/>
  <c r="T61" i="1"/>
  <c r="T62" i="1" s="1"/>
  <c r="S61" i="1"/>
  <c r="S62" i="1" s="1"/>
  <c r="AE60" i="1"/>
  <c r="AE59" i="1"/>
  <c r="AD55" i="1"/>
  <c r="AD56" i="1" s="1"/>
  <c r="AC55" i="1"/>
  <c r="AC56" i="1" s="1"/>
  <c r="AB55" i="1"/>
  <c r="AB56" i="1" s="1"/>
  <c r="AA55" i="1"/>
  <c r="AA56" i="1" s="1"/>
  <c r="Z55" i="1"/>
  <c r="Z56" i="1" s="1"/>
  <c r="Y55" i="1"/>
  <c r="Y56" i="1" s="1"/>
  <c r="X55" i="1"/>
  <c r="X56" i="1" s="1"/>
  <c r="W55" i="1"/>
  <c r="W56" i="1" s="1"/>
  <c r="V55" i="1"/>
  <c r="V56" i="1" s="1"/>
  <c r="U55" i="1"/>
  <c r="U56" i="1" s="1"/>
  <c r="T55" i="1"/>
  <c r="T56" i="1" s="1"/>
  <c r="S55" i="1"/>
  <c r="S56" i="1" s="1"/>
  <c r="AE54" i="1"/>
  <c r="AE53" i="1"/>
  <c r="AD49" i="1"/>
  <c r="AD50" i="1" s="1"/>
  <c r="AC49" i="1"/>
  <c r="AC50" i="1" s="1"/>
  <c r="AB49" i="1"/>
  <c r="AB50" i="1" s="1"/>
  <c r="AA49" i="1"/>
  <c r="AA50" i="1" s="1"/>
  <c r="Z49" i="1"/>
  <c r="Z50" i="1" s="1"/>
  <c r="Y49" i="1"/>
  <c r="Y50" i="1" s="1"/>
  <c r="X49" i="1"/>
  <c r="X50" i="1" s="1"/>
  <c r="W49" i="1"/>
  <c r="W50" i="1" s="1"/>
  <c r="V49" i="1"/>
  <c r="V50" i="1" s="1"/>
  <c r="U49" i="1"/>
  <c r="U50" i="1" s="1"/>
  <c r="T49" i="1"/>
  <c r="T50" i="1" s="1"/>
  <c r="S49" i="1"/>
  <c r="S50" i="1" s="1"/>
  <c r="AE48" i="1"/>
  <c r="AE47" i="1"/>
  <c r="AD43" i="1"/>
  <c r="AD44" i="1" s="1"/>
  <c r="AC43" i="1"/>
  <c r="AC44" i="1" s="1"/>
  <c r="AB43" i="1"/>
  <c r="AB44" i="1" s="1"/>
  <c r="AA43" i="1"/>
  <c r="AA44" i="1" s="1"/>
  <c r="Z43" i="1"/>
  <c r="Z44" i="1" s="1"/>
  <c r="Y43" i="1"/>
  <c r="Y44" i="1" s="1"/>
  <c r="X43" i="1"/>
  <c r="X44" i="1" s="1"/>
  <c r="W43" i="1"/>
  <c r="W44" i="1" s="1"/>
  <c r="V43" i="1"/>
  <c r="V44" i="1" s="1"/>
  <c r="U43" i="1"/>
  <c r="U44" i="1" s="1"/>
  <c r="T43" i="1"/>
  <c r="T44" i="1" s="1"/>
  <c r="S43" i="1"/>
  <c r="S44" i="1" s="1"/>
  <c r="AE42" i="1"/>
  <c r="AE41" i="1"/>
  <c r="AD32" i="1"/>
  <c r="AC32" i="1"/>
  <c r="AB32" i="1"/>
  <c r="AA32" i="1"/>
  <c r="Z32" i="1"/>
  <c r="Y32" i="1"/>
  <c r="X32" i="1"/>
  <c r="W32" i="1"/>
  <c r="V32" i="1"/>
  <c r="U32" i="1"/>
  <c r="T32" i="1"/>
  <c r="S32" i="1"/>
  <c r="AE31" i="1"/>
  <c r="AE30" i="1"/>
  <c r="AE29" i="1"/>
  <c r="AC26" i="1"/>
  <c r="AD25" i="1"/>
  <c r="AD26" i="1" s="1"/>
  <c r="AC25" i="1"/>
  <c r="AB25" i="1"/>
  <c r="AB26" i="1" s="1"/>
  <c r="AA25" i="1"/>
  <c r="AA26" i="1" s="1"/>
  <c r="Z25" i="1"/>
  <c r="Z26" i="1" s="1"/>
  <c r="Y25" i="1"/>
  <c r="Y26" i="1" s="1"/>
  <c r="X25" i="1"/>
  <c r="X26" i="1" s="1"/>
  <c r="W25" i="1"/>
  <c r="W26" i="1" s="1"/>
  <c r="V25" i="1"/>
  <c r="V26" i="1" s="1"/>
  <c r="U25" i="1"/>
  <c r="U26" i="1" s="1"/>
  <c r="T25" i="1"/>
  <c r="T26" i="1" s="1"/>
  <c r="S25" i="1"/>
  <c r="S26" i="1" s="1"/>
  <c r="AE24" i="1"/>
  <c r="AE23" i="1"/>
  <c r="AD19" i="1"/>
  <c r="AC19" i="1"/>
  <c r="AB19" i="1"/>
  <c r="AB20" i="1" s="1"/>
  <c r="AA19" i="1"/>
  <c r="AA20" i="1" s="1"/>
  <c r="Z19" i="1"/>
  <c r="Z20" i="1" s="1"/>
  <c r="Y19" i="1"/>
  <c r="Y20" i="1" s="1"/>
  <c r="X19" i="1"/>
  <c r="X20" i="1" s="1"/>
  <c r="W19" i="1"/>
  <c r="V19" i="1"/>
  <c r="U19" i="1"/>
  <c r="U20" i="1" s="1"/>
  <c r="T19" i="1"/>
  <c r="T20" i="1" s="1"/>
  <c r="S19" i="1"/>
  <c r="S20" i="1" s="1"/>
  <c r="AE18" i="1"/>
  <c r="AE17" i="1"/>
  <c r="C97" i="1"/>
  <c r="C103" i="1" s="1"/>
  <c r="C109" i="1" s="1"/>
  <c r="C115" i="1" s="1"/>
  <c r="C121" i="1" s="1"/>
  <c r="C96" i="1"/>
  <c r="C102" i="1" s="1"/>
  <c r="C108" i="1" s="1"/>
  <c r="C114" i="1" s="1"/>
  <c r="C120" i="1" s="1"/>
  <c r="C95" i="1"/>
  <c r="C101" i="1" s="1"/>
  <c r="C107" i="1" s="1"/>
  <c r="C113" i="1" s="1"/>
  <c r="C119" i="1" s="1"/>
  <c r="C73" i="1"/>
  <c r="C72" i="1"/>
  <c r="C71" i="1"/>
  <c r="A22" i="1"/>
  <c r="A28" i="1" s="1"/>
  <c r="A40" i="1" s="1"/>
  <c r="A46" i="1" s="1"/>
  <c r="A52" i="1" s="1"/>
  <c r="A64" i="1" s="1"/>
  <c r="A70" i="1" s="1"/>
  <c r="A76" i="1" s="1"/>
  <c r="A82" i="1" s="1"/>
  <c r="A88" i="1" s="1"/>
  <c r="A94" i="1" s="1"/>
  <c r="A100" i="1" s="1"/>
  <c r="A106" i="1" s="1"/>
  <c r="A112" i="1" s="1"/>
  <c r="A118" i="1" s="1"/>
  <c r="A124" i="1" s="1"/>
  <c r="A130" i="1" s="1"/>
  <c r="A136" i="1" s="1"/>
  <c r="A148" i="1" s="1"/>
  <c r="A154" i="1" s="1"/>
  <c r="A160" i="1" s="1"/>
  <c r="A172" i="1" s="1"/>
  <c r="A178" i="1" s="1"/>
  <c r="A184" i="1" s="1"/>
  <c r="A190" i="1" s="1"/>
  <c r="A196" i="1" s="1"/>
  <c r="A202" i="1" s="1"/>
  <c r="A214" i="1" s="1"/>
  <c r="A220" i="1" s="1"/>
  <c r="A226" i="1" s="1"/>
  <c r="A232" i="1" s="1"/>
  <c r="A244" i="1" s="1"/>
  <c r="A250" i="1" s="1"/>
  <c r="A256" i="1" s="1"/>
  <c r="A280" i="1" s="1"/>
  <c r="A286" i="1" s="1"/>
  <c r="A304" i="1" s="1"/>
  <c r="A310" i="1" s="1"/>
  <c r="A322" i="1" s="1"/>
  <c r="A328" i="1" s="1"/>
  <c r="A352" i="1" s="1"/>
  <c r="A364" i="1" s="1"/>
  <c r="A370" i="1" s="1"/>
  <c r="A376" i="1" s="1"/>
  <c r="A412" i="1" s="1"/>
  <c r="A418" i="1" s="1"/>
  <c r="A424" i="1" s="1"/>
  <c r="A430" i="1" s="1"/>
  <c r="AE332" i="1" l="1"/>
  <c r="AE602" i="1"/>
  <c r="AE896" i="1"/>
  <c r="AE625" i="1"/>
  <c r="AE626" i="1" s="1"/>
  <c r="AE852" i="1"/>
  <c r="AE890" i="1"/>
  <c r="AE884" i="1"/>
  <c r="AE932" i="1"/>
  <c r="AE416" i="1"/>
  <c r="AE559" i="1"/>
  <c r="AE584" i="1"/>
  <c r="AE878" i="1"/>
  <c r="AE926" i="1"/>
  <c r="AE458" i="1"/>
  <c r="AE512" i="1"/>
  <c r="AE920" i="1"/>
  <c r="AE668" i="1"/>
  <c r="AE908" i="1"/>
  <c r="X939" i="1"/>
  <c r="V938" i="1"/>
  <c r="AD938" i="1"/>
  <c r="AE67" i="1"/>
  <c r="AE68" i="1" s="1"/>
  <c r="AE638" i="1"/>
  <c r="AE656" i="1"/>
  <c r="AE794" i="1"/>
  <c r="AE493" i="1"/>
  <c r="AE494" i="1" s="1"/>
  <c r="AE452" i="1"/>
  <c r="AE61" i="1"/>
  <c r="AE259" i="1"/>
  <c r="AE260" i="1" s="1"/>
  <c r="AE296" i="1"/>
  <c r="AE446" i="1"/>
  <c r="AE518" i="1"/>
  <c r="AE571" i="1"/>
  <c r="AE781" i="1"/>
  <c r="AE787" i="1"/>
  <c r="AE824" i="1"/>
  <c r="AE560" i="1"/>
  <c r="AE32" i="1"/>
  <c r="AE91" i="1"/>
  <c r="AE92" i="1" s="1"/>
  <c r="AE236" i="1"/>
  <c r="AE253" i="1"/>
  <c r="AE254" i="1" s="1"/>
  <c r="W254" i="1"/>
  <c r="AE422" i="1"/>
  <c r="AE434" i="1"/>
  <c r="W626" i="1"/>
  <c r="AE936" i="1"/>
  <c r="AE193" i="1"/>
  <c r="AE194" i="1" s="1"/>
  <c r="AE373" i="1"/>
  <c r="S494" i="1"/>
  <c r="AE530" i="1"/>
  <c r="AE541" i="1"/>
  <c r="AE613" i="1"/>
  <c r="AE704" i="1"/>
  <c r="AE710" i="1"/>
  <c r="AE769" i="1"/>
  <c r="AE770" i="1" s="1"/>
  <c r="AE835" i="1"/>
  <c r="AE847" i="1"/>
  <c r="AE848" i="1" s="1"/>
  <c r="U939" i="1"/>
  <c r="AC938" i="1"/>
  <c r="AE362" i="1"/>
  <c r="AE380" i="1"/>
  <c r="AD584" i="1"/>
  <c r="AE595" i="1"/>
  <c r="AE596" i="1" s="1"/>
  <c r="AE673" i="1"/>
  <c r="AE674" i="1" s="1"/>
  <c r="AE858" i="1"/>
  <c r="Z939" i="1"/>
  <c r="AA939" i="1"/>
  <c r="T939" i="1"/>
  <c r="AB939" i="1"/>
  <c r="AE62" i="1"/>
  <c r="AE79" i="1"/>
  <c r="AE80" i="1" s="1"/>
  <c r="AE205" i="1"/>
  <c r="AE206" i="1" s="1"/>
  <c r="AE223" i="1"/>
  <c r="AE224" i="1" s="1"/>
  <c r="AE691" i="1"/>
  <c r="AE692" i="1" s="1"/>
  <c r="AE740" i="1"/>
  <c r="AE806" i="1"/>
  <c r="AE470" i="1"/>
  <c r="W938" i="1"/>
  <c r="AE19" i="1"/>
  <c r="AE20" i="1" s="1"/>
  <c r="AE43" i="1"/>
  <c r="AE44" i="1" s="1"/>
  <c r="AE55" i="1"/>
  <c r="AE56" i="1" s="1"/>
  <c r="AE97" i="1"/>
  <c r="AE98" i="1" s="1"/>
  <c r="AE109" i="1"/>
  <c r="AE110" i="1" s="1"/>
  <c r="AE121" i="1"/>
  <c r="AE122" i="1" s="1"/>
  <c r="AE133" i="1"/>
  <c r="AE134" i="1" s="1"/>
  <c r="AE151" i="1"/>
  <c r="AE152" i="1" s="1"/>
  <c r="AE163" i="1"/>
  <c r="AE164" i="1" s="1"/>
  <c r="AE181" i="1"/>
  <c r="AE182" i="1" s="1"/>
  <c r="AE715" i="1"/>
  <c r="V734" i="1"/>
  <c r="AE733" i="1"/>
  <c r="AE734" i="1" s="1"/>
  <c r="AE788" i="1"/>
  <c r="AE841" i="1"/>
  <c r="Y939" i="1"/>
  <c r="X938" i="1"/>
  <c r="AE469" i="1"/>
  <c r="AE614" i="1"/>
  <c r="S842" i="1"/>
  <c r="AE840" i="1"/>
  <c r="Y938" i="1"/>
  <c r="AE199" i="1"/>
  <c r="AE200" i="1" s="1"/>
  <c r="AE217" i="1"/>
  <c r="AE218" i="1" s="1"/>
  <c r="AE229" i="1"/>
  <c r="AE230" i="1" s="1"/>
  <c r="S260" i="1"/>
  <c r="AE278" i="1"/>
  <c r="AE716" i="1"/>
  <c r="AE764" i="1"/>
  <c r="AE853" i="1"/>
  <c r="AE854" i="1" s="1"/>
  <c r="Z938" i="1"/>
  <c r="AC20" i="1"/>
  <c r="AC939" i="1" s="1"/>
  <c r="AE73" i="1"/>
  <c r="AE74" i="1" s="1"/>
  <c r="AE85" i="1"/>
  <c r="AE86" i="1" s="1"/>
  <c r="AE289" i="1"/>
  <c r="AE290" i="1" s="1"/>
  <c r="AE727" i="1"/>
  <c r="AE728" i="1" s="1"/>
  <c r="S830" i="1"/>
  <c r="AE829" i="1"/>
  <c r="AE830" i="1" s="1"/>
  <c r="AE866" i="1"/>
  <c r="AE871" i="1"/>
  <c r="AE872" i="1" s="1"/>
  <c r="U938" i="1"/>
  <c r="S938" i="1"/>
  <c r="AA938" i="1"/>
  <c r="V20" i="1"/>
  <c r="AD20" i="1"/>
  <c r="AE25" i="1"/>
  <c r="AE26" i="1" s="1"/>
  <c r="AE49" i="1"/>
  <c r="AE50" i="1" s="1"/>
  <c r="AE103" i="1"/>
  <c r="AE104" i="1" s="1"/>
  <c r="AE115" i="1"/>
  <c r="AE116" i="1" s="1"/>
  <c r="AE127" i="1"/>
  <c r="AE128" i="1" s="1"/>
  <c r="AE139" i="1"/>
  <c r="AE140" i="1" s="1"/>
  <c r="AE157" i="1"/>
  <c r="AE158" i="1" s="1"/>
  <c r="AE175" i="1"/>
  <c r="AE176" i="1" s="1"/>
  <c r="AE187" i="1"/>
  <c r="AE188" i="1" s="1"/>
  <c r="S284" i="1"/>
  <c r="AE283" i="1"/>
  <c r="AE284" i="1" s="1"/>
  <c r="AE325" i="1"/>
  <c r="AE326" i="1" s="1"/>
  <c r="AE374" i="1"/>
  <c r="AE542" i="1"/>
  <c r="AE553" i="1"/>
  <c r="AE554" i="1" s="1"/>
  <c r="AE650" i="1"/>
  <c r="AE752" i="1"/>
  <c r="AE818" i="1"/>
  <c r="AE836" i="1"/>
  <c r="AE859" i="1"/>
  <c r="T938" i="1"/>
  <c r="AB938" i="1"/>
  <c r="W20" i="1"/>
  <c r="AE247" i="1"/>
  <c r="AE248" i="1" s="1"/>
  <c r="AE572" i="1"/>
  <c r="S722" i="1"/>
  <c r="AE721" i="1"/>
  <c r="AE722" i="1" s="1"/>
  <c r="AE746" i="1"/>
  <c r="AE782" i="1"/>
  <c r="AE812" i="1"/>
  <c r="AE313" i="1"/>
  <c r="AE314" i="1" s="1"/>
  <c r="AE355" i="1"/>
  <c r="AE356" i="1" s="1"/>
  <c r="AE427" i="1"/>
  <c r="AE428" i="1" s="1"/>
  <c r="AE487" i="1"/>
  <c r="AE488" i="1" s="1"/>
  <c r="AE523" i="1"/>
  <c r="AE524" i="1" s="1"/>
  <c r="AE547" i="1"/>
  <c r="AE548" i="1" s="1"/>
  <c r="AE643" i="1"/>
  <c r="AE644" i="1" s="1"/>
  <c r="S937" i="1"/>
  <c r="AE937" i="1" s="1"/>
  <c r="AE565" i="1"/>
  <c r="AE566" i="1" s="1"/>
  <c r="AE577" i="1"/>
  <c r="AE578" i="1" s="1"/>
  <c r="AE631" i="1"/>
  <c r="AE632" i="1" s="1"/>
  <c r="S836" i="1"/>
  <c r="AD866" i="1"/>
  <c r="W572" i="1"/>
  <c r="AE607" i="1"/>
  <c r="AE608" i="1" s="1"/>
  <c r="AE619" i="1"/>
  <c r="AE620" i="1" s="1"/>
  <c r="AE679" i="1"/>
  <c r="AE680" i="1" s="1"/>
  <c r="AE697" i="1"/>
  <c r="AE698" i="1" s="1"/>
  <c r="AE775" i="1"/>
  <c r="AE776" i="1" s="1"/>
  <c r="W596" i="1"/>
  <c r="W614" i="1"/>
  <c r="W692" i="1"/>
  <c r="W782" i="1"/>
  <c r="S848" i="1"/>
  <c r="AE661" i="1"/>
  <c r="AE662" i="1" s="1"/>
  <c r="A436" i="1"/>
  <c r="A448" i="1"/>
  <c r="A454" i="1" s="1"/>
  <c r="A466" i="1" s="1"/>
  <c r="A478" i="1" s="1"/>
  <c r="A484" i="1" s="1"/>
  <c r="A490" i="1" s="1"/>
  <c r="A508" i="1" s="1"/>
  <c r="A514" i="1" s="1"/>
  <c r="A520" i="1" s="1"/>
  <c r="A526" i="1" s="1"/>
  <c r="A538" i="1" s="1"/>
  <c r="A544" i="1" s="1"/>
  <c r="A550" i="1" s="1"/>
  <c r="A556" i="1" s="1"/>
  <c r="A562" i="1" s="1"/>
  <c r="A568" i="1" s="1"/>
  <c r="A574" i="1" s="1"/>
  <c r="A580" i="1" s="1"/>
  <c r="A586" i="1" s="1"/>
  <c r="A592" i="1" s="1"/>
  <c r="A598" i="1" s="1"/>
  <c r="A604" i="1" s="1"/>
  <c r="A610" i="1" s="1"/>
  <c r="A616" i="1" s="1"/>
  <c r="A622" i="1" s="1"/>
  <c r="A628" i="1" s="1"/>
  <c r="A634" i="1" s="1"/>
  <c r="A640" i="1" s="1"/>
  <c r="A646" i="1" s="1"/>
  <c r="A652" i="1" s="1"/>
  <c r="A658" i="1" s="1"/>
  <c r="A664" i="1" s="1"/>
  <c r="A670" i="1" s="1"/>
  <c r="A676" i="1" s="1"/>
  <c r="A682" i="1" s="1"/>
  <c r="A688" i="1" s="1"/>
  <c r="A694" i="1" s="1"/>
  <c r="A700" i="1" s="1"/>
  <c r="A706" i="1" s="1"/>
  <c r="A712" i="1" s="1"/>
  <c r="A718" i="1" s="1"/>
  <c r="A724" i="1" s="1"/>
  <c r="A730" i="1" s="1"/>
  <c r="A736" i="1" s="1"/>
  <c r="A742" i="1" s="1"/>
  <c r="A748" i="1" s="1"/>
  <c r="A754" i="1" s="1"/>
  <c r="A760" i="1" s="1"/>
  <c r="A766" i="1" s="1"/>
  <c r="A772" i="1" s="1"/>
  <c r="A778" i="1" s="1"/>
  <c r="A784" i="1" s="1"/>
  <c r="A790" i="1" s="1"/>
  <c r="A796" i="1" s="1"/>
  <c r="A802" i="1" s="1"/>
  <c r="A808" i="1" s="1"/>
  <c r="A814" i="1" s="1"/>
  <c r="A820" i="1" s="1"/>
  <c r="A826" i="1" s="1"/>
  <c r="A832" i="1" s="1"/>
  <c r="A442" i="1"/>
  <c r="AE860" i="1" l="1"/>
  <c r="AE842" i="1"/>
  <c r="S939" i="1"/>
  <c r="AD939" i="1"/>
  <c r="V939" i="1"/>
  <c r="AE938" i="1"/>
  <c r="W939" i="1"/>
  <c r="A844" i="1"/>
  <c r="A838" i="1"/>
  <c r="AE939" i="1" l="1"/>
  <c r="A850" i="1"/>
  <c r="A856" i="1"/>
  <c r="A862" i="1" s="1"/>
  <c r="A868" i="1" s="1"/>
  <c r="A874" i="1" s="1"/>
  <c r="A892" i="1" l="1"/>
  <c r="A898" i="1" s="1"/>
  <c r="A904" i="1" s="1"/>
  <c r="A910" i="1" s="1"/>
  <c r="A916" i="1" s="1"/>
  <c r="A922" i="1" s="1"/>
  <c r="A928" i="1" s="1"/>
  <c r="A880" i="1"/>
  <c r="A886" i="1"/>
</calcChain>
</file>

<file path=xl/sharedStrings.xml><?xml version="1.0" encoding="utf-8"?>
<sst xmlns="http://schemas.openxmlformats.org/spreadsheetml/2006/main" count="814" uniqueCount="294">
  <si>
    <t>CHARTER SCHOOL DEBT RESERVE, INTERCEPT AND TREASURY FEE PAYMENTS</t>
  </si>
  <si>
    <t>CRS 22-30.5-406 AND 22-30.5-407</t>
  </si>
  <si>
    <t>Total FY 23</t>
  </si>
  <si>
    <t>**</t>
  </si>
  <si>
    <t>Littleton Academy Charter School (#5229014007A)</t>
  </si>
  <si>
    <t>Debt Reserve</t>
  </si>
  <si>
    <t>Treasury Fee</t>
  </si>
  <si>
    <t>Intercept</t>
  </si>
  <si>
    <t>Total for Littleton Academy Charter School</t>
  </si>
  <si>
    <t>Belle Creek Charter School (#0700004008A)</t>
  </si>
  <si>
    <t>Total for Belle Creek Charter School</t>
  </si>
  <si>
    <t>James Madison Charter Academy (#5033099008A)</t>
  </si>
  <si>
    <t>Total for James Madison Charter Academy</t>
  </si>
  <si>
    <t>Community Leadership Academy (#1882003008A)</t>
  </si>
  <si>
    <t>Total for Community Leadership Academy</t>
  </si>
  <si>
    <t>Colorado Springs Charter Academy (#1791999910A)</t>
  </si>
  <si>
    <t>Total for Colorado Springs Charter Academy</t>
  </si>
  <si>
    <t>Global Village Academy (#3471018011A)</t>
  </si>
  <si>
    <t>Total for Global Village Academy</t>
  </si>
  <si>
    <t>Twin Peaks Charter Academy (#8927047011A)</t>
  </si>
  <si>
    <t>Total for Twin Peaks Charter Academy</t>
  </si>
  <si>
    <t>Cherry Creek Academy Inc. (#1571013012A)</t>
  </si>
  <si>
    <t>Total for Cherry Creek Academy Inc.</t>
  </si>
  <si>
    <t>DCS Montessori Charter School (#5997090013A)</t>
  </si>
  <si>
    <t>Total for DCS Montessori Charter School</t>
  </si>
  <si>
    <t>Mountain Phoenix Community School (#6139142013A)</t>
  </si>
  <si>
    <t>Total for Mountain Phoenix Community School</t>
  </si>
  <si>
    <t>Littleton Preparatory Charter School (#5233014013A)</t>
  </si>
  <si>
    <t>Total for Littleton Preparatory Charter School</t>
  </si>
  <si>
    <t>Pinnacle Charter School (#0654800113A)</t>
  </si>
  <si>
    <t>Total for Pinnacle Charter School</t>
  </si>
  <si>
    <t>Aurora Academy (#0458018013A)</t>
  </si>
  <si>
    <t>Total for Aurora Academy</t>
  </si>
  <si>
    <t>Community Leadership Academy (#1882800114A)</t>
  </si>
  <si>
    <t>Liberty Common School (#5120155014A)</t>
  </si>
  <si>
    <t>Total for Liberty Common School</t>
  </si>
  <si>
    <t>Ridgeview Classical Schools (#0146155015A)</t>
  </si>
  <si>
    <t>Total for Ridgeview Classical Schools</t>
  </si>
  <si>
    <t>Swallows Charter Academy (#8420270015A)</t>
  </si>
  <si>
    <t>Total for Swallows Charter Academy</t>
  </si>
  <si>
    <t>Skyview Academy (#6365090015A)</t>
  </si>
  <si>
    <t>Total for Skyview Academy</t>
  </si>
  <si>
    <t>Peak to Peak (#6816048015A)</t>
  </si>
  <si>
    <t>Total for Peak to Peak</t>
  </si>
  <si>
    <t>Twin Peaks Charter Academy (#8927047015A)</t>
  </si>
  <si>
    <t>Classical Academy (#1627104015A)</t>
  </si>
  <si>
    <t>Total for Classical Academy</t>
  </si>
  <si>
    <t>Independence Academy (#2128200015A)</t>
  </si>
  <si>
    <t>Total for Independence Academy</t>
  </si>
  <si>
    <t>STEM School (#5259090015A)</t>
  </si>
  <si>
    <t>Total for STEM School</t>
  </si>
  <si>
    <t>Global Village Academy (#3471018015A)</t>
  </si>
  <si>
    <t>Monument Academy (#5093108015A)</t>
  </si>
  <si>
    <t>Total for Monument Academy</t>
  </si>
  <si>
    <t>Classical Academy (#1627104015B)</t>
  </si>
  <si>
    <t>University Laboratory School (#2850312015A)</t>
  </si>
  <si>
    <t>Total for University Labortory School</t>
  </si>
  <si>
    <t>Atlas Prepatory School (#0469098015A)</t>
  </si>
  <si>
    <t>Total for Atlas Prepatory School</t>
  </si>
  <si>
    <t>Aspen Ridge School (#0071047015A)</t>
  </si>
  <si>
    <t>Total for Aspen Ridge School</t>
  </si>
  <si>
    <t>Bromley East Charter School (#1052004016A)</t>
  </si>
  <si>
    <t>Total for Bromley East Charter School</t>
  </si>
  <si>
    <t>Monarch Montessori (#5621088016A)</t>
  </si>
  <si>
    <t>Total for Monarch Montessori</t>
  </si>
  <si>
    <t>Two Roads Charter School (#8793142016A)</t>
  </si>
  <si>
    <t>Total for Two Roads Charter School</t>
  </si>
  <si>
    <t>Ben Franklin Academy (#0135090016A)</t>
  </si>
  <si>
    <t>Total for Ben Franklin Academy</t>
  </si>
  <si>
    <t>Westgate Community School (#9431002016A)</t>
  </si>
  <si>
    <t>Total for Westgate Community School</t>
  </si>
  <si>
    <t>Vanguard School (#1582102016A)</t>
  </si>
  <si>
    <t>Total for Vanguard School</t>
  </si>
  <si>
    <t>Academy Charter School (#0011090016A)</t>
  </si>
  <si>
    <t>Total for Academy Charter School</t>
  </si>
  <si>
    <t>Flagstaff Academy (#2964047016A)</t>
  </si>
  <si>
    <t>Total for Flagstaff Academy</t>
  </si>
  <si>
    <t>Parker Core Knowledge (#1873090017A)</t>
  </si>
  <si>
    <t>Total for Parker Core Knowledge</t>
  </si>
  <si>
    <t>Global Village Academy (#3471018017A)</t>
  </si>
  <si>
    <t>Frontier Academy (#1875312017A)</t>
  </si>
  <si>
    <t>Total for Frontier Academy</t>
  </si>
  <si>
    <t>Excel Academy (#2799142017A)</t>
  </si>
  <si>
    <t>Total for Excel Academy</t>
  </si>
  <si>
    <t>Loveland Classical Schools (#5235156017A)</t>
  </si>
  <si>
    <t>Total for Loveland Classical Schools</t>
  </si>
  <si>
    <t>Windsor Charter Academy (9665310017A)</t>
  </si>
  <si>
    <t>Total for Windsor Charter Academy</t>
  </si>
  <si>
    <t>Banning Lewis Ranch Academy (0555111017A)</t>
  </si>
  <si>
    <t>Total for Banning Lewis Ranch Academy</t>
  </si>
  <si>
    <t>Eagle Ridge Academy (2399004017A)</t>
  </si>
  <si>
    <t>Total for Eagle Ridge Academy</t>
  </si>
  <si>
    <t>Platte River Academy (7047090017A)</t>
  </si>
  <si>
    <t>Total for Platte River Academy</t>
  </si>
  <si>
    <t>North Star Academy (1579090017A)</t>
  </si>
  <si>
    <t>Total for North Star Academy</t>
  </si>
  <si>
    <t>Renaissance Secondary School (7244090017A)</t>
  </si>
  <si>
    <t>Total for Renaissance Secondary School</t>
  </si>
  <si>
    <t>Challenge to  Excellence (1512090017A)</t>
  </si>
  <si>
    <t>Total for Challenge to Excellence</t>
  </si>
  <si>
    <t>Early College of Arvada (2837800117A)</t>
  </si>
  <si>
    <t>Total for Early College of Arvada</t>
  </si>
  <si>
    <t>World Compass Academy (9397090018A)</t>
  </si>
  <si>
    <t>Total for World Compass Academy</t>
  </si>
  <si>
    <t>Carbon Valley Academy (1284047018A)</t>
  </si>
  <si>
    <t>Total for Carbon Valley Academy</t>
  </si>
  <si>
    <t>Union Colony School (8965312018A)</t>
  </si>
  <si>
    <t>Total for Union Colony School</t>
  </si>
  <si>
    <t>Lotus School for Excellence (5298018018A)</t>
  </si>
  <si>
    <t>Total for Lotus School for Excellence</t>
  </si>
  <si>
    <t>New Vision Charter School (6220156018A)</t>
  </si>
  <si>
    <t>Total for New Vision Charter School</t>
  </si>
  <si>
    <t>Global Village Academy (3471018018A)</t>
  </si>
  <si>
    <t>Grand Peak Academy (formerly Imagine Indigo Ranch) (4251111019A)</t>
  </si>
  <si>
    <t>Total for Grand Peak Academy (formerly Imagine Indigo Ranch)</t>
  </si>
  <si>
    <t>Stargate Charter School (1519002019A)</t>
  </si>
  <si>
    <t>Total for Stargate Charter School</t>
  </si>
  <si>
    <t>Highline Academy Charter School (3987088019A)</t>
  </si>
  <si>
    <t>Total for Highline Academy Charter School</t>
  </si>
  <si>
    <t>New America School (4699002019A)</t>
  </si>
  <si>
    <t>Total for New America School</t>
  </si>
  <si>
    <t>Caprock Academy (1279800119A)</t>
  </si>
  <si>
    <t>Total for Caprock Academy</t>
  </si>
  <si>
    <t>Legacy Academy (2572092019A)</t>
  </si>
  <si>
    <t>Total for Legacy Academy</t>
  </si>
  <si>
    <t>Colorado Early Colleges - Parker (2196800120B)</t>
  </si>
  <si>
    <t>Total for Colorado Early Colleges - Parker</t>
  </si>
  <si>
    <t>Colorado Early Colleges - Fort Collins West (2067800119A)</t>
  </si>
  <si>
    <t>Total for Colorado Early Colleges - Fort Collins</t>
  </si>
  <si>
    <t>Colorado Early Colleges - Fort Collins Bidg Corp (2067800119B)</t>
  </si>
  <si>
    <t>Colorado Springs Early Colleges - Windsor (1795800119A)</t>
  </si>
  <si>
    <t>Total for Colorado Springs Early Colleges</t>
  </si>
  <si>
    <t>Colorado Springs Early Colleges - CSEC (1795800119B)</t>
  </si>
  <si>
    <t>West Ridge Academy Charter School (9611312020A)</t>
  </si>
  <si>
    <t>Total for West Ridge Academy Charter School</t>
  </si>
  <si>
    <t>Crown Pointe Academy (2035800120A)</t>
  </si>
  <si>
    <t>Total for Crown Pointe Academy</t>
  </si>
  <si>
    <t>Monument Academy Secondary School (5093108020A)</t>
  </si>
  <si>
    <t>Total for Monument Academy Secondary School</t>
  </si>
  <si>
    <t>A</t>
  </si>
  <si>
    <t>James Irwin Charter High School (4378098020A)</t>
  </si>
  <si>
    <t>Total for James Irwin Charter High School</t>
  </si>
  <si>
    <t>B</t>
  </si>
  <si>
    <t>James Irwin Charter Middle School (4378098020A)</t>
  </si>
  <si>
    <t>Total for James Irwin Charter Middle School</t>
  </si>
  <si>
    <t>C</t>
  </si>
  <si>
    <t>James Irwin Charter Elementary School (4378098020A)</t>
  </si>
  <si>
    <t>Total for James Irwin Charter Elementary School</t>
  </si>
  <si>
    <t>James Irwin Charter Academy (4403800120A)</t>
  </si>
  <si>
    <t>Total for James Irwin Charter Academy</t>
  </si>
  <si>
    <t>Power Technical Early College (6653111020A)</t>
  </si>
  <si>
    <t>Total for Power Technical Early College</t>
  </si>
  <si>
    <t>New Summit Charter Academy (6242104020A)</t>
  </si>
  <si>
    <t>Total for New Summit Charter Academy</t>
  </si>
  <si>
    <t>Leman Classical School (5225090020A)</t>
  </si>
  <si>
    <t>Total for Leman Classical School</t>
  </si>
  <si>
    <t>Colorado Early Colleges - Aurora (1633800120A)</t>
  </si>
  <si>
    <t>Total for Colorado Early Colleges - Aurora</t>
  </si>
  <si>
    <t>Rocky Mountain Classical Academy (#7463111020A)</t>
  </si>
  <si>
    <t>Total for Rocky Mountain Classical Academy</t>
  </si>
  <si>
    <t>Colorado Skies Academy (#0188013020A)</t>
  </si>
  <si>
    <t>Total for Colorado Skies Academy</t>
  </si>
  <si>
    <t>STEM School (#5259090020A)</t>
  </si>
  <si>
    <t>Fort Collins Montessori School (#3242155020A)</t>
  </si>
  <si>
    <t>Total for Fort Collins Montessori School</t>
  </si>
  <si>
    <t>Colorado Early Colleges Parker (#2196800120C)</t>
  </si>
  <si>
    <t>Total for Colorado Early Colleges Parker</t>
  </si>
  <si>
    <t>Two Rivers Community School (#8821800120A)</t>
  </si>
  <si>
    <t>Total for Two Rivers Community School</t>
  </si>
  <si>
    <t>Salida del Sol Academy (#8467312020A)</t>
  </si>
  <si>
    <t>Total for Salida del Sol Academy</t>
  </si>
  <si>
    <t>Prospect Ridge Academy (#6802002020A)</t>
  </si>
  <si>
    <t>Total for Prospect Ridge Academy</t>
  </si>
  <si>
    <t>The Juniper School (#4384152020A)</t>
  </si>
  <si>
    <t>Total for The Juniper School</t>
  </si>
  <si>
    <t>Golden View Classical Academy (#3393800120A)</t>
  </si>
  <si>
    <t>Total for Golden View Classical Academy</t>
  </si>
  <si>
    <t>Addenbrooke Classical Academy (#1451142020A)</t>
  </si>
  <si>
    <t>Total for Addenbrooke Classical Academy</t>
  </si>
  <si>
    <t>American Academy (#0215090020A)</t>
  </si>
  <si>
    <t>Total for American Academy</t>
  </si>
  <si>
    <t>Academy of Charter Schools (#0015800120A)</t>
  </si>
  <si>
    <t>Total for Academy of Charter Schools</t>
  </si>
  <si>
    <t>Total for Imagine Charter School</t>
  </si>
  <si>
    <t>Thomas MacLaren State Charter School (#8825800120A)</t>
  </si>
  <si>
    <t>Total for Thomas MacLaren State Charter School</t>
  </si>
  <si>
    <t>Parker Performing Arts (#6719090021A)</t>
  </si>
  <si>
    <t>Total for Parker Performing Arts</t>
  </si>
  <si>
    <t>Independence Academy (#2128200021A)</t>
  </si>
  <si>
    <t>Academy of Advanced Learning (#0126018021A)</t>
  </si>
  <si>
    <t>Total for Academy of Advanced Learning</t>
  </si>
  <si>
    <t>Windsor Charter Academy (#9665310021A)</t>
  </si>
  <si>
    <t>Liberty Tree Academy (#5191111021A)</t>
  </si>
  <si>
    <t>Total for Liberty Tree Academy</t>
  </si>
  <si>
    <t>Montessori Peaks Academy (#5994142021A)</t>
  </si>
  <si>
    <t>Total for Montessori Peaks Academy</t>
  </si>
  <si>
    <t>Chavez/Huerta K-12 Preparatory Academy (#1488269021A)</t>
  </si>
  <si>
    <t>Total for Chavez/Huerta K-12 Preparatory Academy</t>
  </si>
  <si>
    <t>Vanguard Classical School - East (#9189018021A)</t>
  </si>
  <si>
    <t>Total for Vanguard Classical School - East</t>
  </si>
  <si>
    <t>Collegiate Academy of Colorado (#7701142021A)</t>
  </si>
  <si>
    <t>Total for Collegiate Academy of Colorado</t>
  </si>
  <si>
    <t>Swallows Charter Academy (#8420270021A)</t>
  </si>
  <si>
    <t>Global Village Academy - Northglenn (#3439800121A)</t>
  </si>
  <si>
    <t>Total for Global Village Academy - Northglenn</t>
  </si>
  <si>
    <t>Rocky Mountain Academy of Evergreen (#7462142021A)</t>
  </si>
  <si>
    <t>Total for Rocky Mountain Academy of Evergreen</t>
  </si>
  <si>
    <t>Pinnacle Charter School (#0654800121A)</t>
  </si>
  <si>
    <t>Heritage Heights Academy (#4189013021A)</t>
  </si>
  <si>
    <t>Total for Heritage Heights Academy</t>
  </si>
  <si>
    <t>Villa Bella School (#9084270021A)</t>
  </si>
  <si>
    <t>Total for Villa Bella School</t>
  </si>
  <si>
    <t>Lincoln Academy (#5145142021A)</t>
  </si>
  <si>
    <t>Total for Lincoln Academy</t>
  </si>
  <si>
    <t>Pikes Peak School of Expeditionary Learning (#6935111021A)</t>
  </si>
  <si>
    <t>Total for Pikes Peak School of Expeditionary Learning</t>
  </si>
  <si>
    <t>Aspen View Academy (#6019090021A)</t>
  </si>
  <si>
    <t>Total for Aspen View Academy</t>
  </si>
  <si>
    <t>Vega Collegiate Academy (#9053018022A)</t>
  </si>
  <si>
    <t>Total for Vega Collegiate Academy</t>
  </si>
  <si>
    <t>Jefferson Academy (#4402142022A)</t>
  </si>
  <si>
    <t>Total for Jefferson Academy</t>
  </si>
  <si>
    <t>Denver School of Science &amp; Technology (#2145088022A)</t>
  </si>
  <si>
    <t>Total for Denver School of Science &amp; Technology</t>
  </si>
  <si>
    <t>High Point Academy (#0655800122A)</t>
  </si>
  <si>
    <t>Total for High Point Academy</t>
  </si>
  <si>
    <t>Colorado Military Academy (#1505800122A)</t>
  </si>
  <si>
    <t>Total for Colorado Military Academy</t>
  </si>
  <si>
    <t>New Summit Charter Academy (#6242104022A)</t>
  </si>
  <si>
    <t>Westgate Community School (#9431002022A)</t>
  </si>
  <si>
    <t>Banning Lewis Ranch Academy (#0555111022A)</t>
  </si>
  <si>
    <t>Windsor Charter Academy (#9665310022A)</t>
  </si>
  <si>
    <t>STEM School (#5259090022A)</t>
  </si>
  <si>
    <t>Pioneer Technology and Arts Academy (#1275111022A)</t>
  </si>
  <si>
    <t>Total for Pioneer Technology and Arts Academy</t>
  </si>
  <si>
    <t>Global Village Academy - Aurora (#3471018022A)</t>
  </si>
  <si>
    <t>Total for Global Village Academy - Aurora</t>
  </si>
  <si>
    <t>Global Village Academy - Aurora (#3471018022B)</t>
  </si>
  <si>
    <t>Coperni 2 (#5431800122A)</t>
  </si>
  <si>
    <t>Total for Coperni 2</t>
  </si>
  <si>
    <t>Coperni 2 (#5431800122B)</t>
  </si>
  <si>
    <t>Grand Peak Academy (#4251111022A)</t>
  </si>
  <si>
    <t>Total for Grand Peak Academy</t>
  </si>
  <si>
    <t>Golden View Classical Academy (#3393880122A)</t>
  </si>
  <si>
    <t>Littleton Academy (#5229014022A)</t>
  </si>
  <si>
    <t>Total for Littleton Academy</t>
  </si>
  <si>
    <t>New Vision Charter School (#6220156022A)</t>
  </si>
  <si>
    <t>Doral Academy (#2189142022A)</t>
  </si>
  <si>
    <t>Total for Doral Academy</t>
  </si>
  <si>
    <t>Knowledge Quest Academy (#4785311022A)</t>
  </si>
  <si>
    <t>Total for Knowledge Quest Academy</t>
  </si>
  <si>
    <t>CIVICA Colorado (#6226311022A)</t>
  </si>
  <si>
    <t>Total for CIVICA Colorado</t>
  </si>
  <si>
    <t>Chavez/Huerta K-12 Preparatory Academy (#1488269022A)</t>
  </si>
  <si>
    <t>Total for Chavez/Huerty K-12 Preparatory Academy</t>
  </si>
  <si>
    <t>Mountain Sage Community School (#5917155022A)</t>
  </si>
  <si>
    <t>Total for Mountain Sage Community School</t>
  </si>
  <si>
    <t>Mountain Song Community School (#5851800122A)</t>
  </si>
  <si>
    <t>Total for Mountain Song Community School</t>
  </si>
  <si>
    <t>Belle Creek Charter School (#0700004022A)</t>
  </si>
  <si>
    <t>Colorado Early Colleges Aurora (#1633800122A)</t>
  </si>
  <si>
    <t>Total for Colorado Early Colleges Aurora</t>
  </si>
  <si>
    <t>Colorado Early Colleges Douglas (SC#2196)</t>
  </si>
  <si>
    <t>Total for Colorado Early Colleges Douglas</t>
  </si>
  <si>
    <t>Colorado Springs Early Colleges (#1795800122A)</t>
  </si>
  <si>
    <t>Colorado Early Colleges Ft Collins (SC#2067)</t>
  </si>
  <si>
    <t>Total for Colorado Early Colleges Ft Collins</t>
  </si>
  <si>
    <t>Colorado Early Colleges Windsor (SC#1387)</t>
  </si>
  <si>
    <t>Total for Colorado Early Colleges Windsor</t>
  </si>
  <si>
    <t>Challenge to Excellence Charter School (#1512090023A)</t>
  </si>
  <si>
    <t>Total for Challenge to Excellence Charter School</t>
  </si>
  <si>
    <t>Summary</t>
  </si>
  <si>
    <t>Debt Reserve  (8040 WAAA)</t>
  </si>
  <si>
    <t>Treasury Fee  (17F0 WAAA)</t>
  </si>
  <si>
    <t>Intercept  (9410 WAAA)</t>
  </si>
  <si>
    <r>
      <t>Total for all payments</t>
    </r>
    <r>
      <rPr>
        <sz val="10"/>
        <rFont val="Arial"/>
        <family val="2"/>
      </rPr>
      <t xml:space="preserve">  (1130 DAAA)</t>
    </r>
  </si>
  <si>
    <t>*</t>
  </si>
  <si>
    <t>SD revoked charter / Charter closed</t>
  </si>
  <si>
    <t>Advance refunded</t>
  </si>
  <si>
    <t>***</t>
  </si>
  <si>
    <t>Payment schedule combined with schedule for a later issuance</t>
  </si>
  <si>
    <t>Eagle Ridge Academy (#2399004023A)</t>
  </si>
  <si>
    <t>James Irwin Charter High School (4378098023A)</t>
  </si>
  <si>
    <t>James Irwin Charter Middle School (4378098023A)</t>
  </si>
  <si>
    <t>James Irwin Charter Elementary School (4378098023A)</t>
  </si>
  <si>
    <t>James Irwin Charter Academy (4403800123A)</t>
  </si>
  <si>
    <t>Power Technical Early College (#6653111023A)</t>
  </si>
  <si>
    <t>Global Village Academy - Douglas (#3327090023A)</t>
  </si>
  <si>
    <t>Total for Global Village Academy - Douglas</t>
  </si>
  <si>
    <t>Fort Collins Montessori School (#3242155023A)</t>
  </si>
  <si>
    <t>Highline Academy Charter School (#3987088023A)</t>
  </si>
  <si>
    <t>Firestone Charter Academy (f/k/a Imagine Charter School) (#4333047020A)</t>
  </si>
  <si>
    <t>Leman Classical School (#5225090023A)</t>
  </si>
  <si>
    <t>Mountain Phoenix Community School (#6139142023A)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</si>
</sst>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 applyAlignment="1">
      <alignment horizontal="center" wrapText="1"/>
    </xf>
    <xf numFmtId="44" fontId="2" fillId="0" borderId="0" xfId="0" applyNumberFormat="1" applyFont="1" applyAlignment="1">
      <alignment wrapText="1"/>
    </xf>
    <xf numFmtId="164" fontId="4" fillId="0" borderId="0" xfId="0" applyNumberFormat="1" applyFont="1"/>
    <xf numFmtId="44" fontId="4" fillId="0" borderId="0" xfId="0" quotePrefix="1" applyNumberFormat="1" applyFont="1" applyAlignment="1">
      <alignment horizontal="right" wrapText="1"/>
    </xf>
    <xf numFmtId="43" fontId="0" fillId="0" borderId="0" xfId="0" applyNumberFormat="1"/>
    <xf numFmtId="0" fontId="5" fillId="2" borderId="0" xfId="0" applyFont="1" applyFill="1" applyAlignment="1">
      <alignment horizontal="right"/>
    </xf>
    <xf numFmtId="43" fontId="4" fillId="3" borderId="0" xfId="0" applyNumberFormat="1" applyFont="1" applyFill="1"/>
    <xf numFmtId="39" fontId="0" fillId="0" borderId="0" xfId="0" applyNumberFormat="1"/>
    <xf numFmtId="43" fontId="2" fillId="0" borderId="1" xfId="0" applyNumberFormat="1" applyFont="1" applyBorder="1" applyAlignment="1">
      <alignment horizontal="center"/>
    </xf>
    <xf numFmtId="39" fontId="2" fillId="0" borderId="2" xfId="0" applyNumberFormat="1" applyFont="1" applyBorder="1"/>
    <xf numFmtId="43" fontId="2" fillId="0" borderId="0" xfId="0" applyNumberFormat="1" applyFont="1" applyAlignment="1">
      <alignment horizontal="center"/>
    </xf>
    <xf numFmtId="43" fontId="4" fillId="3" borderId="0" xfId="0" quotePrefix="1" applyNumberFormat="1" applyFont="1" applyFill="1" applyAlignment="1">
      <alignment horizontal="left"/>
    </xf>
    <xf numFmtId="43" fontId="2" fillId="0" borderId="1" xfId="0" quotePrefix="1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43" fontId="4" fillId="0" borderId="0" xfId="0" quotePrefix="1" applyNumberFormat="1" applyFont="1" applyAlignment="1">
      <alignment horizontal="left"/>
    </xf>
    <xf numFmtId="43" fontId="2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right" vertical="center"/>
    </xf>
    <xf numFmtId="43" fontId="4" fillId="0" borderId="0" xfId="0" applyNumberFormat="1" applyFont="1"/>
    <xf numFmtId="43" fontId="0" fillId="0" borderId="0" xfId="1" applyFont="1" applyFill="1"/>
    <xf numFmtId="0" fontId="5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39" fontId="0" fillId="4" borderId="0" xfId="0" applyNumberFormat="1" applyFill="1"/>
    <xf numFmtId="43" fontId="0" fillId="0" borderId="0" xfId="1" applyFont="1" applyFill="1" applyBorder="1" applyAlignment="1"/>
    <xf numFmtId="39" fontId="2" fillId="0" borderId="0" xfId="0" applyNumberFormat="1" applyFont="1"/>
    <xf numFmtId="39" fontId="4" fillId="0" borderId="0" xfId="0" applyNumberFormat="1" applyFont="1"/>
    <xf numFmtId="43" fontId="2" fillId="0" borderId="0" xfId="0" applyNumberFormat="1" applyFont="1"/>
    <xf numFmtId="0" fontId="5" fillId="5" borderId="0" xfId="0" applyFont="1" applyFill="1" applyAlignment="1">
      <alignment horizontal="right"/>
    </xf>
    <xf numFmtId="43" fontId="2" fillId="5" borderId="0" xfId="0" quotePrefix="1" applyNumberFormat="1" applyFont="1" applyFill="1" applyAlignment="1">
      <alignment horizontal="left"/>
    </xf>
    <xf numFmtId="43" fontId="2" fillId="2" borderId="0" xfId="0" applyNumberFormat="1" applyFont="1" applyFill="1"/>
    <xf numFmtId="0" fontId="5" fillId="6" borderId="0" xfId="0" applyFont="1" applyFill="1" applyAlignment="1">
      <alignment horizontal="right"/>
    </xf>
    <xf numFmtId="0" fontId="2" fillId="6" borderId="0" xfId="0" applyFont="1" applyFill="1" applyAlignment="1">
      <alignment horizontal="left"/>
    </xf>
    <xf numFmtId="0" fontId="0" fillId="4" borderId="0" xfId="0" applyFill="1"/>
    <xf numFmtId="164" fontId="4" fillId="4" borderId="0" xfId="0" applyNumberFormat="1" applyFont="1" applyFill="1"/>
    <xf numFmtId="43" fontId="0" fillId="4" borderId="0" xfId="1" applyFont="1" applyFill="1"/>
    <xf numFmtId="39" fontId="2" fillId="4" borderId="2" xfId="0" applyNumberFormat="1" applyFont="1" applyFill="1" applyBorder="1"/>
    <xf numFmtId="43" fontId="0" fillId="4" borderId="0" xfId="1" applyFont="1" applyFill="1" applyBorder="1" applyAlignment="1"/>
    <xf numFmtId="39" fontId="2" fillId="4" borderId="0" xfId="0" applyNumberFormat="1" applyFont="1" applyFill="1"/>
    <xf numFmtId="39" fontId="4" fillId="4" borderId="0" xfId="0" applyNumberFormat="1" applyFont="1" applyFill="1"/>
    <xf numFmtId="43" fontId="1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0"/>
  <sheetViews>
    <sheetView tabSelected="1" zoomScaleNormal="100" zoomScalePageLayoutView="75" workbookViewId="0">
      <pane xSplit="3" ySplit="2" topLeftCell="W917" activePane="bottomRight" state="frozen"/>
      <selection pane="topRight" activeCell="D1" sqref="D1"/>
      <selection pane="bottomLeft" activeCell="A3" sqref="A3"/>
      <selection pane="bottomRight" activeCell="AD939" sqref="AD939"/>
    </sheetView>
  </sheetViews>
  <sheetFormatPr defaultRowHeight="12.75" x14ac:dyDescent="0.2"/>
  <cols>
    <col min="1" max="1" width="5.7109375" style="1" customWidth="1"/>
    <col min="2" max="2" width="4.7109375" style="1" customWidth="1"/>
    <col min="3" max="3" width="89.85546875" customWidth="1"/>
    <col min="4" max="29" width="15.42578125" bestFit="1" customWidth="1"/>
    <col min="30" max="30" width="15.42578125" style="35" bestFit="1" customWidth="1"/>
    <col min="31" max="31" width="18.140625" bestFit="1" customWidth="1"/>
  </cols>
  <sheetData>
    <row r="1" spans="1:31" ht="50.1" customHeight="1" x14ac:dyDescent="0.3">
      <c r="C1" s="2" t="s">
        <v>0</v>
      </c>
    </row>
    <row r="2" spans="1:31" ht="25.5" customHeight="1" x14ac:dyDescent="0.25">
      <c r="C2" s="3" t="s">
        <v>1</v>
      </c>
      <c r="S2" s="4">
        <v>44743</v>
      </c>
      <c r="T2" s="4">
        <v>44774</v>
      </c>
      <c r="U2" s="4">
        <v>44805</v>
      </c>
      <c r="V2" s="4">
        <v>44835</v>
      </c>
      <c r="W2" s="4">
        <v>44866</v>
      </c>
      <c r="X2" s="4">
        <v>44896</v>
      </c>
      <c r="Y2" s="4">
        <v>44927</v>
      </c>
      <c r="Z2" s="4">
        <v>44958</v>
      </c>
      <c r="AA2" s="4">
        <v>44986</v>
      </c>
      <c r="AB2" s="4">
        <v>45017</v>
      </c>
      <c r="AC2" s="4">
        <v>45047</v>
      </c>
      <c r="AD2" s="36">
        <v>45078</v>
      </c>
      <c r="AE2" s="5" t="s">
        <v>2</v>
      </c>
    </row>
    <row r="3" spans="1:31" x14ac:dyDescent="0.2">
      <c r="C3" s="6"/>
    </row>
    <row r="4" spans="1:31" ht="15.75" x14ac:dyDescent="0.25">
      <c r="B4" s="7" t="s">
        <v>3</v>
      </c>
      <c r="C4" s="8" t="s">
        <v>4</v>
      </c>
    </row>
    <row r="5" spans="1:31" x14ac:dyDescent="0.2">
      <c r="C5" s="6" t="s">
        <v>5</v>
      </c>
      <c r="S5" s="20"/>
    </row>
    <row r="6" spans="1:31" x14ac:dyDescent="0.2">
      <c r="C6" s="6" t="s">
        <v>6</v>
      </c>
      <c r="S6" s="20"/>
    </row>
    <row r="7" spans="1:31" ht="13.5" thickBot="1" x14ac:dyDescent="0.25">
      <c r="C7" s="6" t="s">
        <v>7</v>
      </c>
      <c r="S7" s="20"/>
    </row>
    <row r="8" spans="1:31" ht="13.5" thickBot="1" x14ac:dyDescent="0.25">
      <c r="C8" s="10" t="s">
        <v>8</v>
      </c>
    </row>
    <row r="9" spans="1:31" x14ac:dyDescent="0.2">
      <c r="C9" s="12"/>
    </row>
    <row r="10" spans="1:31" ht="15.75" x14ac:dyDescent="0.25">
      <c r="B10" s="7" t="s">
        <v>3</v>
      </c>
      <c r="C10" s="13" t="s">
        <v>9</v>
      </c>
    </row>
    <row r="11" spans="1:31" x14ac:dyDescent="0.2">
      <c r="C11" s="6" t="s">
        <v>5</v>
      </c>
      <c r="S11" s="20"/>
      <c r="T11" s="20"/>
    </row>
    <row r="12" spans="1:31" x14ac:dyDescent="0.2">
      <c r="C12" s="6" t="s">
        <v>6</v>
      </c>
      <c r="S12" s="20"/>
      <c r="T12" s="20"/>
    </row>
    <row r="13" spans="1:31" ht="13.5" thickBot="1" x14ac:dyDescent="0.25">
      <c r="C13" s="6" t="s">
        <v>7</v>
      </c>
      <c r="S13" s="20"/>
      <c r="T13" s="20"/>
    </row>
    <row r="14" spans="1:31" ht="13.5" thickBot="1" x14ac:dyDescent="0.25">
      <c r="C14" s="14" t="s">
        <v>10</v>
      </c>
    </row>
    <row r="15" spans="1:31" x14ac:dyDescent="0.2">
      <c r="C15" s="12"/>
    </row>
    <row r="16" spans="1:31" ht="15.75" x14ac:dyDescent="0.25">
      <c r="A16" s="15">
        <v>1</v>
      </c>
      <c r="C16" s="16" t="s">
        <v>11</v>
      </c>
    </row>
    <row r="17" spans="1:31" x14ac:dyDescent="0.2">
      <c r="C17" s="6" t="s">
        <v>5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25">
        <v>0</v>
      </c>
      <c r="AE17" s="9">
        <f>SUM(S17:AD17)</f>
        <v>0</v>
      </c>
    </row>
    <row r="18" spans="1:31" x14ac:dyDescent="0.2">
      <c r="C18" s="6" t="s">
        <v>6</v>
      </c>
      <c r="S18" s="20">
        <v>250</v>
      </c>
      <c r="AE18" s="9">
        <f>SUM(S18:AD18)</f>
        <v>250</v>
      </c>
    </row>
    <row r="19" spans="1:31" ht="13.5" thickBot="1" x14ac:dyDescent="0.25">
      <c r="C19" s="6" t="s">
        <v>7</v>
      </c>
      <c r="S19" s="20">
        <f t="shared" ref="S19:AB19" si="0">4583.33+9625</f>
        <v>14208.33</v>
      </c>
      <c r="T19" s="20">
        <f t="shared" si="0"/>
        <v>14208.33</v>
      </c>
      <c r="U19" s="20">
        <f t="shared" si="0"/>
        <v>14208.33</v>
      </c>
      <c r="V19" s="20">
        <f t="shared" si="0"/>
        <v>14208.33</v>
      </c>
      <c r="W19" s="20">
        <f t="shared" si="0"/>
        <v>14208.33</v>
      </c>
      <c r="X19" s="20">
        <f t="shared" si="0"/>
        <v>14208.33</v>
      </c>
      <c r="Y19" s="20">
        <f t="shared" si="0"/>
        <v>14208.33</v>
      </c>
      <c r="Z19" s="20">
        <f t="shared" si="0"/>
        <v>14208.33</v>
      </c>
      <c r="AA19" s="20">
        <f t="shared" si="0"/>
        <v>14208.33</v>
      </c>
      <c r="AB19" s="20">
        <f t="shared" si="0"/>
        <v>14208.33</v>
      </c>
      <c r="AC19" s="20">
        <f>4583.33+9281.25</f>
        <v>13864.58</v>
      </c>
      <c r="AD19" s="37">
        <f>4583.33+9281.25</f>
        <v>13864.58</v>
      </c>
      <c r="AE19" s="9">
        <f>SUM(S19:AD19)</f>
        <v>169812.45999999996</v>
      </c>
    </row>
    <row r="20" spans="1:31" ht="13.5" thickBot="1" x14ac:dyDescent="0.25">
      <c r="C20" s="14" t="s">
        <v>12</v>
      </c>
      <c r="S20" s="11">
        <f t="shared" ref="S20:AD20" si="1">SUM(S17:S19)</f>
        <v>14458.33</v>
      </c>
      <c r="T20" s="11">
        <f t="shared" si="1"/>
        <v>14208.33</v>
      </c>
      <c r="U20" s="11">
        <f t="shared" si="1"/>
        <v>14208.33</v>
      </c>
      <c r="V20" s="11">
        <f t="shared" si="1"/>
        <v>14208.33</v>
      </c>
      <c r="W20" s="11">
        <f t="shared" si="1"/>
        <v>14208.33</v>
      </c>
      <c r="X20" s="11">
        <f t="shared" si="1"/>
        <v>14208.33</v>
      </c>
      <c r="Y20" s="11">
        <f t="shared" si="1"/>
        <v>14208.33</v>
      </c>
      <c r="Z20" s="11">
        <f t="shared" si="1"/>
        <v>14208.33</v>
      </c>
      <c r="AA20" s="11">
        <f t="shared" si="1"/>
        <v>14208.33</v>
      </c>
      <c r="AB20" s="11">
        <f t="shared" si="1"/>
        <v>14208.33</v>
      </c>
      <c r="AC20" s="11">
        <f t="shared" si="1"/>
        <v>13864.58</v>
      </c>
      <c r="AD20" s="38">
        <f t="shared" si="1"/>
        <v>13864.58</v>
      </c>
      <c r="AE20" s="11">
        <f>SUM(AE17:AE19)</f>
        <v>170062.45999999996</v>
      </c>
    </row>
    <row r="21" spans="1:31" x14ac:dyDescent="0.2">
      <c r="C21" s="17"/>
    </row>
    <row r="22" spans="1:31" ht="15.75" customHeight="1" x14ac:dyDescent="0.25">
      <c r="A22" s="15">
        <f>+A16+1</f>
        <v>2</v>
      </c>
      <c r="B22" s="18"/>
      <c r="C22" s="19" t="s">
        <v>13</v>
      </c>
    </row>
    <row r="23" spans="1:31" x14ac:dyDescent="0.2">
      <c r="C23" s="6" t="s">
        <v>5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25">
        <v>0</v>
      </c>
      <c r="AE23" s="9">
        <f>SUM(S23:AD23)</f>
        <v>0</v>
      </c>
    </row>
    <row r="24" spans="1:31" x14ac:dyDescent="0.2">
      <c r="C24" s="6" t="s">
        <v>6</v>
      </c>
      <c r="S24" s="20">
        <v>250</v>
      </c>
      <c r="AE24" s="9">
        <f>SUM(S24:AD24)</f>
        <v>250</v>
      </c>
    </row>
    <row r="25" spans="1:31" ht="13.5" thickBot="1" x14ac:dyDescent="0.25">
      <c r="C25" s="6" t="s">
        <v>7</v>
      </c>
      <c r="S25" s="20">
        <f>20833.33+35143.75</f>
        <v>55977.08</v>
      </c>
      <c r="T25" s="20">
        <f t="shared" ref="T25:AD25" si="2">20833.33+35143.75</f>
        <v>55977.08</v>
      </c>
      <c r="U25" s="20">
        <f t="shared" si="2"/>
        <v>55977.08</v>
      </c>
      <c r="V25" s="20">
        <f t="shared" si="2"/>
        <v>55977.08</v>
      </c>
      <c r="W25" s="20">
        <f t="shared" si="2"/>
        <v>55977.08</v>
      </c>
      <c r="X25" s="20">
        <f t="shared" si="2"/>
        <v>55977.08</v>
      </c>
      <c r="Y25" s="20">
        <f t="shared" si="2"/>
        <v>55977.08</v>
      </c>
      <c r="Z25" s="20">
        <f t="shared" si="2"/>
        <v>55977.08</v>
      </c>
      <c r="AA25" s="20">
        <f t="shared" si="2"/>
        <v>55977.08</v>
      </c>
      <c r="AB25" s="20">
        <f t="shared" si="2"/>
        <v>55977.08</v>
      </c>
      <c r="AC25" s="20">
        <f t="shared" si="2"/>
        <v>55977.08</v>
      </c>
      <c r="AD25" s="37">
        <f t="shared" si="2"/>
        <v>55977.08</v>
      </c>
      <c r="AE25" s="9">
        <f>SUM(S25:AD25)</f>
        <v>671724.96</v>
      </c>
    </row>
    <row r="26" spans="1:31" ht="13.5" thickBot="1" x14ac:dyDescent="0.25">
      <c r="C26" s="10" t="s">
        <v>14</v>
      </c>
      <c r="S26" s="11">
        <f t="shared" ref="S26:AD26" si="3">SUM(S23:S25)</f>
        <v>56227.08</v>
      </c>
      <c r="T26" s="11">
        <f t="shared" si="3"/>
        <v>55977.08</v>
      </c>
      <c r="U26" s="11">
        <f t="shared" si="3"/>
        <v>55977.08</v>
      </c>
      <c r="V26" s="11">
        <f t="shared" si="3"/>
        <v>55977.08</v>
      </c>
      <c r="W26" s="11">
        <f t="shared" si="3"/>
        <v>55977.08</v>
      </c>
      <c r="X26" s="11">
        <f t="shared" si="3"/>
        <v>55977.08</v>
      </c>
      <c r="Y26" s="11">
        <f t="shared" si="3"/>
        <v>55977.08</v>
      </c>
      <c r="Z26" s="11">
        <f t="shared" si="3"/>
        <v>55977.08</v>
      </c>
      <c r="AA26" s="11">
        <f t="shared" si="3"/>
        <v>55977.08</v>
      </c>
      <c r="AB26" s="11">
        <f t="shared" si="3"/>
        <v>55977.08</v>
      </c>
      <c r="AC26" s="11">
        <f t="shared" si="3"/>
        <v>55977.08</v>
      </c>
      <c r="AD26" s="38">
        <f t="shared" si="3"/>
        <v>55977.08</v>
      </c>
      <c r="AE26" s="11">
        <f>SUM(AE23:AE25)</f>
        <v>671974.96</v>
      </c>
    </row>
    <row r="27" spans="1:31" x14ac:dyDescent="0.2">
      <c r="C27" s="17"/>
    </row>
    <row r="28" spans="1:31" ht="15.75" customHeight="1" x14ac:dyDescent="0.25">
      <c r="A28" s="15">
        <f>+A22+1</f>
        <v>3</v>
      </c>
      <c r="B28" s="18"/>
      <c r="C28" s="19" t="s">
        <v>15</v>
      </c>
    </row>
    <row r="29" spans="1:31" x14ac:dyDescent="0.2">
      <c r="C29" s="6" t="s">
        <v>5</v>
      </c>
      <c r="S29" s="20">
        <v>472.08</v>
      </c>
      <c r="T29" s="20">
        <v>472.08</v>
      </c>
      <c r="U29" s="20">
        <v>472.08</v>
      </c>
      <c r="V29" s="20">
        <v>472.08</v>
      </c>
      <c r="W29" s="20">
        <v>472.08</v>
      </c>
      <c r="X29" s="20">
        <v>472.08</v>
      </c>
      <c r="Y29" s="20">
        <v>472.08</v>
      </c>
      <c r="Z29" s="20">
        <v>472.08</v>
      </c>
      <c r="AA29" s="20">
        <v>472.08</v>
      </c>
      <c r="AB29" s="20">
        <v>472.08</v>
      </c>
      <c r="AC29" s="20">
        <v>472.08</v>
      </c>
      <c r="AD29" s="37">
        <v>455.83</v>
      </c>
      <c r="AE29" s="9">
        <f>SUM(S29:AD29)</f>
        <v>5648.71</v>
      </c>
    </row>
    <row r="30" spans="1:31" x14ac:dyDescent="0.2">
      <c r="C30" s="6" t="s">
        <v>6</v>
      </c>
      <c r="S30" s="20">
        <v>250</v>
      </c>
      <c r="AE30" s="9">
        <f>SUM(S30:AD30)</f>
        <v>250</v>
      </c>
    </row>
    <row r="31" spans="1:31" ht="13.5" thickBot="1" x14ac:dyDescent="0.25">
      <c r="C31" s="6" t="s">
        <v>7</v>
      </c>
      <c r="S31" s="20">
        <v>42089.58</v>
      </c>
      <c r="T31" s="20">
        <v>42089.58</v>
      </c>
      <c r="U31" s="20">
        <v>42089.58</v>
      </c>
      <c r="V31" s="20">
        <v>42089.58</v>
      </c>
      <c r="W31" s="20">
        <v>42089.58</v>
      </c>
      <c r="X31" s="20">
        <v>42089.58</v>
      </c>
      <c r="Y31" s="20">
        <v>42089.58</v>
      </c>
      <c r="Z31" s="20">
        <v>42089.58</v>
      </c>
      <c r="AA31" s="20">
        <v>42089.58</v>
      </c>
      <c r="AB31" s="20">
        <v>42089.58</v>
      </c>
      <c r="AC31" s="20">
        <v>42089.58</v>
      </c>
      <c r="AD31" s="37">
        <v>42089.58</v>
      </c>
      <c r="AE31" s="9">
        <f>SUM(S31:AD31)</f>
        <v>505074.96000000014</v>
      </c>
    </row>
    <row r="32" spans="1:31" ht="13.5" thickBot="1" x14ac:dyDescent="0.25">
      <c r="C32" s="10" t="s">
        <v>16</v>
      </c>
      <c r="S32" s="11">
        <f t="shared" ref="S32:AD32" si="4">SUM(S29:S31)</f>
        <v>42811.66</v>
      </c>
      <c r="T32" s="11">
        <f t="shared" si="4"/>
        <v>42561.66</v>
      </c>
      <c r="U32" s="11">
        <f t="shared" si="4"/>
        <v>42561.66</v>
      </c>
      <c r="V32" s="11">
        <f t="shared" si="4"/>
        <v>42561.66</v>
      </c>
      <c r="W32" s="11">
        <f t="shared" si="4"/>
        <v>42561.66</v>
      </c>
      <c r="X32" s="11">
        <f t="shared" si="4"/>
        <v>42561.66</v>
      </c>
      <c r="Y32" s="11">
        <f t="shared" si="4"/>
        <v>42561.66</v>
      </c>
      <c r="Z32" s="11">
        <f t="shared" si="4"/>
        <v>42561.66</v>
      </c>
      <c r="AA32" s="11">
        <f t="shared" si="4"/>
        <v>42561.66</v>
      </c>
      <c r="AB32" s="11">
        <f t="shared" si="4"/>
        <v>42561.66</v>
      </c>
      <c r="AC32" s="11">
        <f t="shared" si="4"/>
        <v>42561.66</v>
      </c>
      <c r="AD32" s="38">
        <f t="shared" si="4"/>
        <v>42545.41</v>
      </c>
      <c r="AE32" s="11">
        <f>SUM(AE29:AE31)</f>
        <v>510973.67000000016</v>
      </c>
    </row>
    <row r="33" spans="1:31" x14ac:dyDescent="0.2">
      <c r="C33" s="12"/>
    </row>
    <row r="34" spans="1:31" ht="15.75" customHeight="1" x14ac:dyDescent="0.25">
      <c r="A34" s="15"/>
      <c r="B34" s="21" t="s">
        <v>3</v>
      </c>
      <c r="C34" s="8" t="s">
        <v>17</v>
      </c>
    </row>
    <row r="35" spans="1:31" x14ac:dyDescent="0.2">
      <c r="C35" s="6" t="s">
        <v>5</v>
      </c>
    </row>
    <row r="36" spans="1:31" x14ac:dyDescent="0.2">
      <c r="C36" s="6" t="s">
        <v>6</v>
      </c>
    </row>
    <row r="37" spans="1:31" ht="13.5" thickBot="1" x14ac:dyDescent="0.25">
      <c r="C37" s="6" t="s">
        <v>7</v>
      </c>
    </row>
    <row r="38" spans="1:31" ht="13.5" thickBot="1" x14ac:dyDescent="0.25">
      <c r="C38" s="10" t="s">
        <v>18</v>
      </c>
    </row>
    <row r="39" spans="1:31" x14ac:dyDescent="0.2">
      <c r="C39" s="12"/>
    </row>
    <row r="40" spans="1:31" ht="15.75" customHeight="1" x14ac:dyDescent="0.25">
      <c r="A40" s="15">
        <f>+A28+1</f>
        <v>4</v>
      </c>
      <c r="B40" s="18"/>
      <c r="C40" s="19" t="s">
        <v>19</v>
      </c>
    </row>
    <row r="41" spans="1:31" x14ac:dyDescent="0.2">
      <c r="C41" s="6" t="s">
        <v>5</v>
      </c>
      <c r="S41" s="9">
        <v>209.58</v>
      </c>
      <c r="T41" s="9">
        <v>209.58</v>
      </c>
      <c r="U41" s="9">
        <v>209.58</v>
      </c>
      <c r="V41" s="9">
        <v>209.58</v>
      </c>
      <c r="W41" s="9">
        <v>209.58</v>
      </c>
      <c r="X41" s="9">
        <v>209.58</v>
      </c>
      <c r="Y41" s="9">
        <v>209.58</v>
      </c>
      <c r="Z41" s="9">
        <v>209.58</v>
      </c>
      <c r="AA41" s="9">
        <v>209.58</v>
      </c>
      <c r="AB41" s="9">
        <v>209.58</v>
      </c>
      <c r="AC41" s="9">
        <v>209.58</v>
      </c>
      <c r="AD41" s="25">
        <v>209.58</v>
      </c>
      <c r="AE41" s="9">
        <f>SUM(S41:AD41)</f>
        <v>2514.9599999999996</v>
      </c>
    </row>
    <row r="42" spans="1:31" x14ac:dyDescent="0.2">
      <c r="C42" s="6" t="s">
        <v>6</v>
      </c>
      <c r="S42" s="20">
        <v>250</v>
      </c>
      <c r="AE42" s="9">
        <f>SUM(S42:AD42)</f>
        <v>250</v>
      </c>
    </row>
    <row r="43" spans="1:31" ht="13.5" thickBot="1" x14ac:dyDescent="0.25">
      <c r="C43" s="6" t="s">
        <v>7</v>
      </c>
      <c r="S43" s="20">
        <f t="shared" ref="S43:Z43" si="5">6666.67+23901.56</f>
        <v>30568.230000000003</v>
      </c>
      <c r="T43" s="20">
        <f t="shared" si="5"/>
        <v>30568.230000000003</v>
      </c>
      <c r="U43" s="20">
        <f t="shared" si="5"/>
        <v>30568.230000000003</v>
      </c>
      <c r="V43" s="20">
        <f t="shared" si="5"/>
        <v>30568.230000000003</v>
      </c>
      <c r="W43" s="20">
        <f t="shared" si="5"/>
        <v>30568.230000000003</v>
      </c>
      <c r="X43" s="20">
        <f t="shared" si="5"/>
        <v>30568.230000000003</v>
      </c>
      <c r="Y43" s="20">
        <f t="shared" si="5"/>
        <v>30568.230000000003</v>
      </c>
      <c r="Z43" s="20">
        <f t="shared" si="5"/>
        <v>30568.230000000003</v>
      </c>
      <c r="AA43" s="20">
        <f>7500+23401.56</f>
        <v>30901.56</v>
      </c>
      <c r="AB43" s="20">
        <f>7500+23401.56</f>
        <v>30901.56</v>
      </c>
      <c r="AC43" s="20">
        <f>7500+23401.56</f>
        <v>30901.56</v>
      </c>
      <c r="AD43" s="37">
        <f>7500+23401.56</f>
        <v>30901.56</v>
      </c>
      <c r="AE43" s="9">
        <f>SUM(S43:AD43)</f>
        <v>368152.08000000007</v>
      </c>
    </row>
    <row r="44" spans="1:31" ht="13.5" thickBot="1" x14ac:dyDescent="0.25">
      <c r="C44" s="10" t="s">
        <v>20</v>
      </c>
      <c r="S44" s="11">
        <f t="shared" ref="S44:AD44" si="6">SUM(S41:S43)</f>
        <v>31027.810000000005</v>
      </c>
      <c r="T44" s="11">
        <f t="shared" si="6"/>
        <v>30777.810000000005</v>
      </c>
      <c r="U44" s="11">
        <f t="shared" si="6"/>
        <v>30777.810000000005</v>
      </c>
      <c r="V44" s="11">
        <f t="shared" si="6"/>
        <v>30777.810000000005</v>
      </c>
      <c r="W44" s="11">
        <f t="shared" si="6"/>
        <v>30777.810000000005</v>
      </c>
      <c r="X44" s="11">
        <f t="shared" si="6"/>
        <v>30777.810000000005</v>
      </c>
      <c r="Y44" s="11">
        <f t="shared" si="6"/>
        <v>30777.810000000005</v>
      </c>
      <c r="Z44" s="11">
        <f t="shared" si="6"/>
        <v>30777.810000000005</v>
      </c>
      <c r="AA44" s="11">
        <f t="shared" si="6"/>
        <v>31111.140000000003</v>
      </c>
      <c r="AB44" s="11">
        <f t="shared" si="6"/>
        <v>31111.140000000003</v>
      </c>
      <c r="AC44" s="11">
        <f t="shared" si="6"/>
        <v>31111.140000000003</v>
      </c>
      <c r="AD44" s="38">
        <f t="shared" si="6"/>
        <v>31111.140000000003</v>
      </c>
      <c r="AE44" s="11">
        <f>SUM(AE41:AE43)</f>
        <v>370917.0400000001</v>
      </c>
    </row>
    <row r="45" spans="1:31" x14ac:dyDescent="0.2">
      <c r="C45" s="12"/>
    </row>
    <row r="46" spans="1:31" ht="15.75" customHeight="1" x14ac:dyDescent="0.25">
      <c r="A46" s="15">
        <f>+A40+1</f>
        <v>5</v>
      </c>
      <c r="B46" s="18"/>
      <c r="C46" s="19" t="s">
        <v>21</v>
      </c>
    </row>
    <row r="47" spans="1:31" x14ac:dyDescent="0.2">
      <c r="C47" s="6" t="s">
        <v>5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25">
        <v>0</v>
      </c>
      <c r="AE47" s="9">
        <f>SUM(S47:AD47)</f>
        <v>0</v>
      </c>
    </row>
    <row r="48" spans="1:31" x14ac:dyDescent="0.2">
      <c r="C48" s="6" t="s">
        <v>6</v>
      </c>
      <c r="S48" s="20">
        <v>250</v>
      </c>
      <c r="AE48" s="9">
        <f>SUM(S48:AD48)</f>
        <v>250</v>
      </c>
    </row>
    <row r="49" spans="1:31" ht="13.5" thickBot="1" x14ac:dyDescent="0.25">
      <c r="C49" s="6" t="s">
        <v>7</v>
      </c>
      <c r="S49" s="20">
        <f t="shared" ref="S49:Z49" si="7">15000+7857.29</f>
        <v>22857.29</v>
      </c>
      <c r="T49" s="20">
        <f t="shared" si="7"/>
        <v>22857.29</v>
      </c>
      <c r="U49" s="20">
        <f t="shared" si="7"/>
        <v>22857.29</v>
      </c>
      <c r="V49" s="20">
        <f t="shared" si="7"/>
        <v>22857.29</v>
      </c>
      <c r="W49" s="20">
        <f t="shared" si="7"/>
        <v>22857.29</v>
      </c>
      <c r="X49" s="20">
        <f t="shared" si="7"/>
        <v>22857.29</v>
      </c>
      <c r="Y49" s="20">
        <f t="shared" si="7"/>
        <v>22857.29</v>
      </c>
      <c r="Z49" s="20">
        <f t="shared" si="7"/>
        <v>22857.29</v>
      </c>
      <c r="AA49" s="20">
        <f>15833.33+7144.79</f>
        <v>22978.12</v>
      </c>
      <c r="AB49" s="20">
        <f>15833.33+7144.79</f>
        <v>22978.12</v>
      </c>
      <c r="AC49" s="20">
        <f>15833.33+7144.79</f>
        <v>22978.12</v>
      </c>
      <c r="AD49" s="37">
        <f>15833.33+7144.79</f>
        <v>22978.12</v>
      </c>
      <c r="AE49" s="9">
        <f>SUM(S49:AD49)</f>
        <v>274770.80000000005</v>
      </c>
    </row>
    <row r="50" spans="1:31" ht="13.5" thickBot="1" x14ac:dyDescent="0.25">
      <c r="C50" s="10" t="s">
        <v>22</v>
      </c>
      <c r="S50" s="11">
        <f t="shared" ref="S50:AD50" si="8">SUM(S47:S49)</f>
        <v>23107.29</v>
      </c>
      <c r="T50" s="11">
        <f t="shared" si="8"/>
        <v>22857.29</v>
      </c>
      <c r="U50" s="11">
        <f t="shared" si="8"/>
        <v>22857.29</v>
      </c>
      <c r="V50" s="11">
        <f t="shared" si="8"/>
        <v>22857.29</v>
      </c>
      <c r="W50" s="11">
        <f t="shared" si="8"/>
        <v>22857.29</v>
      </c>
      <c r="X50" s="11">
        <f t="shared" si="8"/>
        <v>22857.29</v>
      </c>
      <c r="Y50" s="11">
        <f t="shared" si="8"/>
        <v>22857.29</v>
      </c>
      <c r="Z50" s="11">
        <f t="shared" si="8"/>
        <v>22857.29</v>
      </c>
      <c r="AA50" s="11">
        <f t="shared" si="8"/>
        <v>22978.12</v>
      </c>
      <c r="AB50" s="11">
        <f t="shared" si="8"/>
        <v>22978.12</v>
      </c>
      <c r="AC50" s="11">
        <f t="shared" si="8"/>
        <v>22978.12</v>
      </c>
      <c r="AD50" s="38">
        <f t="shared" si="8"/>
        <v>22978.12</v>
      </c>
      <c r="AE50" s="11">
        <f>SUM(AE47:AE49)</f>
        <v>275020.80000000005</v>
      </c>
    </row>
    <row r="51" spans="1:31" x14ac:dyDescent="0.2">
      <c r="C51" s="12"/>
    </row>
    <row r="52" spans="1:31" ht="15.75" customHeight="1" x14ac:dyDescent="0.25">
      <c r="A52" s="15">
        <f>+A46+1</f>
        <v>6</v>
      </c>
      <c r="B52" s="18"/>
      <c r="C52" s="19" t="s">
        <v>23</v>
      </c>
    </row>
    <row r="53" spans="1:31" x14ac:dyDescent="0.2">
      <c r="C53" s="6" t="s">
        <v>5</v>
      </c>
      <c r="S53" s="20">
        <v>566.66999999999996</v>
      </c>
      <c r="T53" s="20">
        <v>566.66999999999996</v>
      </c>
      <c r="U53" s="20">
        <v>566.66999999999996</v>
      </c>
      <c r="V53" s="20">
        <v>566.66999999999996</v>
      </c>
      <c r="W53" s="20">
        <v>566.66999999999996</v>
      </c>
      <c r="X53" s="20">
        <v>566.66999999999996</v>
      </c>
      <c r="Y53" s="20">
        <v>566.66999999999996</v>
      </c>
      <c r="Z53" s="20">
        <v>566.66999999999996</v>
      </c>
      <c r="AA53" s="20">
        <v>566.66999999999996</v>
      </c>
      <c r="AB53" s="20">
        <v>566.66999999999996</v>
      </c>
      <c r="AC53" s="20">
        <v>566.66999999999996</v>
      </c>
      <c r="AD53" s="37">
        <v>566.66999999999996</v>
      </c>
      <c r="AE53" s="9">
        <f>SUM(S53:AD53)</f>
        <v>6800.04</v>
      </c>
    </row>
    <row r="54" spans="1:31" x14ac:dyDescent="0.2">
      <c r="C54" s="6" t="s">
        <v>6</v>
      </c>
      <c r="S54" s="20">
        <v>250</v>
      </c>
      <c r="AE54" s="9">
        <f>SUM(S54:AD54)</f>
        <v>250</v>
      </c>
    </row>
    <row r="55" spans="1:31" ht="13.5" thickBot="1" x14ac:dyDescent="0.25">
      <c r="C55" s="6" t="s">
        <v>7</v>
      </c>
      <c r="S55" s="20">
        <f>26666.67+26866.67</f>
        <v>53533.34</v>
      </c>
      <c r="T55" s="20">
        <f>26666.67+26866.67</f>
        <v>53533.34</v>
      </c>
      <c r="U55" s="20">
        <f>26666.67+26866.67</f>
        <v>53533.34</v>
      </c>
      <c r="V55" s="20">
        <f>26666.67+26866.67</f>
        <v>53533.34</v>
      </c>
      <c r="W55" s="20">
        <f>26666.67+26866.67</f>
        <v>53533.34</v>
      </c>
      <c r="X55" s="20">
        <f>26666.65+26866.65</f>
        <v>53533.3</v>
      </c>
      <c r="Y55" s="20">
        <f>26666.67+26333.33</f>
        <v>53000</v>
      </c>
      <c r="Z55" s="20">
        <f>26666.67+26333.33</f>
        <v>53000</v>
      </c>
      <c r="AA55" s="20">
        <f>26666.67+26333.33</f>
        <v>53000</v>
      </c>
      <c r="AB55" s="20">
        <f>26666.67+26333.33</f>
        <v>53000</v>
      </c>
      <c r="AC55" s="20">
        <f>26666.67+26333.33</f>
        <v>53000</v>
      </c>
      <c r="AD55" s="37">
        <f>26666.65+26333.35</f>
        <v>53000</v>
      </c>
      <c r="AE55" s="9">
        <f>SUM(S55:AD55)</f>
        <v>639200</v>
      </c>
    </row>
    <row r="56" spans="1:31" ht="13.5" thickBot="1" x14ac:dyDescent="0.25">
      <c r="C56" s="10" t="s">
        <v>24</v>
      </c>
      <c r="S56" s="11">
        <f t="shared" ref="S56:AD56" si="9">SUM(S53:S55)</f>
        <v>54350.009999999995</v>
      </c>
      <c r="T56" s="11">
        <f t="shared" si="9"/>
        <v>54100.009999999995</v>
      </c>
      <c r="U56" s="11">
        <f t="shared" si="9"/>
        <v>54100.009999999995</v>
      </c>
      <c r="V56" s="11">
        <f t="shared" si="9"/>
        <v>54100.009999999995</v>
      </c>
      <c r="W56" s="11">
        <f t="shared" si="9"/>
        <v>54100.009999999995</v>
      </c>
      <c r="X56" s="11">
        <f t="shared" si="9"/>
        <v>54099.97</v>
      </c>
      <c r="Y56" s="11">
        <f t="shared" si="9"/>
        <v>53566.67</v>
      </c>
      <c r="Z56" s="11">
        <f t="shared" si="9"/>
        <v>53566.67</v>
      </c>
      <c r="AA56" s="11">
        <f t="shared" si="9"/>
        <v>53566.67</v>
      </c>
      <c r="AB56" s="11">
        <f t="shared" si="9"/>
        <v>53566.67</v>
      </c>
      <c r="AC56" s="11">
        <f t="shared" si="9"/>
        <v>53566.67</v>
      </c>
      <c r="AD56" s="38">
        <f t="shared" si="9"/>
        <v>53566.67</v>
      </c>
      <c r="AE56" s="11">
        <f>SUM(AE53:AE55)</f>
        <v>646250.04</v>
      </c>
    </row>
    <row r="57" spans="1:31" x14ac:dyDescent="0.2">
      <c r="C57" s="12"/>
    </row>
    <row r="58" spans="1:31" ht="15.75" customHeight="1" x14ac:dyDescent="0.25">
      <c r="A58" s="15"/>
      <c r="B58" s="21" t="s">
        <v>3</v>
      </c>
      <c r="C58" s="8" t="s">
        <v>25</v>
      </c>
    </row>
    <row r="59" spans="1:31" x14ac:dyDescent="0.2">
      <c r="C59" s="6" t="s">
        <v>5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25"/>
      <c r="AE59" s="9">
        <f>SUM(S59:AD59)</f>
        <v>0</v>
      </c>
    </row>
    <row r="60" spans="1:31" x14ac:dyDescent="0.2">
      <c r="C60" s="6" t="s">
        <v>6</v>
      </c>
      <c r="S60" s="20">
        <v>250</v>
      </c>
      <c r="AE60" s="9">
        <f>SUM(S60:AD60)</f>
        <v>250</v>
      </c>
    </row>
    <row r="61" spans="1:31" ht="13.5" thickBot="1" x14ac:dyDescent="0.25">
      <c r="C61" s="6" t="s">
        <v>7</v>
      </c>
      <c r="S61" s="20">
        <f t="shared" ref="S61:T61" si="10">11666.67+37450</f>
        <v>49116.67</v>
      </c>
      <c r="T61" s="20">
        <f t="shared" si="10"/>
        <v>49116.67</v>
      </c>
      <c r="U61" s="20">
        <f>11666.63+37450</f>
        <v>49116.63</v>
      </c>
      <c r="V61" s="20">
        <f>12500+36633.33</f>
        <v>49133.33</v>
      </c>
      <c r="W61" s="20">
        <f t="shared" ref="W61:AC61" si="11">12500+36633.33</f>
        <v>49133.33</v>
      </c>
      <c r="X61" s="20">
        <f t="shared" si="11"/>
        <v>49133.33</v>
      </c>
      <c r="Y61" s="20">
        <f t="shared" si="11"/>
        <v>49133.33</v>
      </c>
      <c r="Z61" s="20">
        <f t="shared" si="11"/>
        <v>49133.33</v>
      </c>
      <c r="AA61" s="20">
        <f>12500+36633.35</f>
        <v>49133.35</v>
      </c>
      <c r="AB61" s="20">
        <f t="shared" si="11"/>
        <v>49133.33</v>
      </c>
      <c r="AC61" s="20">
        <f t="shared" si="11"/>
        <v>49133.33</v>
      </c>
      <c r="AD61" s="37"/>
      <c r="AE61" s="9">
        <f>SUM(S61:AD61)</f>
        <v>540416.63</v>
      </c>
    </row>
    <row r="62" spans="1:31" ht="13.5" thickBot="1" x14ac:dyDescent="0.25">
      <c r="C62" s="10" t="s">
        <v>26</v>
      </c>
      <c r="S62" s="11">
        <f t="shared" ref="S62:AD62" si="12">SUM(S59:S61)</f>
        <v>49366.67</v>
      </c>
      <c r="T62" s="11">
        <f t="shared" si="12"/>
        <v>49116.67</v>
      </c>
      <c r="U62" s="11">
        <f t="shared" si="12"/>
        <v>49116.63</v>
      </c>
      <c r="V62" s="11">
        <f t="shared" si="12"/>
        <v>49133.33</v>
      </c>
      <c r="W62" s="11">
        <f t="shared" si="12"/>
        <v>49133.33</v>
      </c>
      <c r="X62" s="11">
        <f t="shared" si="12"/>
        <v>49133.33</v>
      </c>
      <c r="Y62" s="11">
        <f t="shared" si="12"/>
        <v>49133.33</v>
      </c>
      <c r="Z62" s="11">
        <f t="shared" si="12"/>
        <v>49133.33</v>
      </c>
      <c r="AA62" s="11">
        <f t="shared" si="12"/>
        <v>49133.35</v>
      </c>
      <c r="AB62" s="11">
        <f t="shared" si="12"/>
        <v>49133.33</v>
      </c>
      <c r="AC62" s="11">
        <f t="shared" si="12"/>
        <v>49133.33</v>
      </c>
      <c r="AD62" s="38">
        <f t="shared" si="12"/>
        <v>0</v>
      </c>
      <c r="AE62" s="11">
        <f>SUM(AE59:AE61)</f>
        <v>540666.63</v>
      </c>
    </row>
    <row r="63" spans="1:31" x14ac:dyDescent="0.2">
      <c r="C63" s="12"/>
    </row>
    <row r="64" spans="1:31" ht="15.75" customHeight="1" x14ac:dyDescent="0.25">
      <c r="A64" s="15">
        <f>A52+1</f>
        <v>7</v>
      </c>
      <c r="B64" s="18"/>
      <c r="C64" s="19" t="s">
        <v>27</v>
      </c>
    </row>
    <row r="65" spans="1:31" x14ac:dyDescent="0.2">
      <c r="C65" s="6" t="s">
        <v>5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25">
        <v>0</v>
      </c>
      <c r="AE65" s="9">
        <f>SUM(S65:AD65)</f>
        <v>0</v>
      </c>
    </row>
    <row r="66" spans="1:31" x14ac:dyDescent="0.2">
      <c r="C66" s="6" t="s">
        <v>6</v>
      </c>
      <c r="S66" s="20">
        <v>250</v>
      </c>
      <c r="AE66" s="9">
        <f>SUM(S66:AD66)</f>
        <v>250</v>
      </c>
    </row>
    <row r="67" spans="1:31" ht="13.5" thickBot="1" x14ac:dyDescent="0.25">
      <c r="C67" s="6" t="s">
        <v>7</v>
      </c>
      <c r="S67" s="20">
        <f t="shared" ref="S67:U67" si="13">13333.33+26270.83</f>
        <v>39604.160000000003</v>
      </c>
      <c r="T67" s="20">
        <f t="shared" si="13"/>
        <v>39604.160000000003</v>
      </c>
      <c r="U67" s="20">
        <f t="shared" si="13"/>
        <v>39604.160000000003</v>
      </c>
      <c r="V67" s="20">
        <f>13333.37+26270.85</f>
        <v>39604.22</v>
      </c>
      <c r="W67" s="20">
        <f>14166.67+25604.17</f>
        <v>39770.839999999997</v>
      </c>
      <c r="X67" s="20">
        <f t="shared" ref="X67:AD67" si="14">14166.67+25604.17</f>
        <v>39770.839999999997</v>
      </c>
      <c r="Y67" s="20">
        <f t="shared" si="14"/>
        <v>39770.839999999997</v>
      </c>
      <c r="Z67" s="20">
        <f t="shared" si="14"/>
        <v>39770.839999999997</v>
      </c>
      <c r="AA67" s="20">
        <f t="shared" si="14"/>
        <v>39770.839999999997</v>
      </c>
      <c r="AB67" s="20">
        <f>14166.67+25604.15</f>
        <v>39770.82</v>
      </c>
      <c r="AC67" s="20">
        <f t="shared" si="14"/>
        <v>39770.839999999997</v>
      </c>
      <c r="AD67" s="37">
        <f t="shared" si="14"/>
        <v>39770.839999999997</v>
      </c>
      <c r="AE67" s="9">
        <f>SUM(S67:AD67)</f>
        <v>476583.39999999991</v>
      </c>
    </row>
    <row r="68" spans="1:31" ht="13.5" thickBot="1" x14ac:dyDescent="0.25">
      <c r="C68" s="10" t="s">
        <v>28</v>
      </c>
      <c r="S68" s="11">
        <f t="shared" ref="S68:AD68" si="15">SUM(S65:S67)</f>
        <v>39854.160000000003</v>
      </c>
      <c r="T68" s="11">
        <f t="shared" si="15"/>
        <v>39604.160000000003</v>
      </c>
      <c r="U68" s="11">
        <f t="shared" si="15"/>
        <v>39604.160000000003</v>
      </c>
      <c r="V68" s="11">
        <f t="shared" si="15"/>
        <v>39604.22</v>
      </c>
      <c r="W68" s="11">
        <f t="shared" si="15"/>
        <v>39770.839999999997</v>
      </c>
      <c r="X68" s="11">
        <f t="shared" si="15"/>
        <v>39770.839999999997</v>
      </c>
      <c r="Y68" s="11">
        <f t="shared" si="15"/>
        <v>39770.839999999997</v>
      </c>
      <c r="Z68" s="11">
        <f t="shared" si="15"/>
        <v>39770.839999999997</v>
      </c>
      <c r="AA68" s="11">
        <f t="shared" si="15"/>
        <v>39770.839999999997</v>
      </c>
      <c r="AB68" s="11">
        <f t="shared" si="15"/>
        <v>39770.82</v>
      </c>
      <c r="AC68" s="11">
        <f t="shared" si="15"/>
        <v>39770.839999999997</v>
      </c>
      <c r="AD68" s="38">
        <f t="shared" si="15"/>
        <v>39770.839999999997</v>
      </c>
      <c r="AE68" s="11">
        <f>SUM(AE65:AE67)</f>
        <v>476833.39999999991</v>
      </c>
    </row>
    <row r="69" spans="1:31" x14ac:dyDescent="0.2">
      <c r="C69" s="12"/>
    </row>
    <row r="70" spans="1:31" ht="15.75" customHeight="1" x14ac:dyDescent="0.25">
      <c r="A70" s="15">
        <f>+A64+1</f>
        <v>8</v>
      </c>
      <c r="B70" s="18"/>
      <c r="C70" s="19" t="s">
        <v>29</v>
      </c>
    </row>
    <row r="71" spans="1:31" x14ac:dyDescent="0.2">
      <c r="C71" s="6" t="str">
        <f>C65</f>
        <v>Debt Reserve</v>
      </c>
      <c r="S71" s="20">
        <v>1061.25</v>
      </c>
      <c r="T71" s="20">
        <v>1061.25</v>
      </c>
      <c r="U71" s="20">
        <v>1061.25</v>
      </c>
      <c r="V71" s="20">
        <v>1061.25</v>
      </c>
      <c r="W71" s="20">
        <v>1061.25</v>
      </c>
      <c r="X71" s="20">
        <v>1061.25</v>
      </c>
      <c r="Y71" s="20">
        <v>1061.25</v>
      </c>
      <c r="Z71" s="20">
        <v>1061.25</v>
      </c>
      <c r="AA71" s="20">
        <v>993.75</v>
      </c>
      <c r="AB71" s="20">
        <v>993.75</v>
      </c>
      <c r="AC71" s="20">
        <v>993.75</v>
      </c>
      <c r="AD71" s="37">
        <v>993.75</v>
      </c>
      <c r="AE71" s="9">
        <f>SUM(S71:AD71)</f>
        <v>12465</v>
      </c>
    </row>
    <row r="72" spans="1:31" x14ac:dyDescent="0.2">
      <c r="C72" s="6" t="str">
        <f>C66</f>
        <v>Treasury Fee</v>
      </c>
      <c r="S72" s="20">
        <v>250</v>
      </c>
      <c r="AE72" s="9">
        <f>SUM(S72:AD72)</f>
        <v>250</v>
      </c>
    </row>
    <row r="73" spans="1:31" ht="13.5" thickBot="1" x14ac:dyDescent="0.25">
      <c r="C73" s="6" t="str">
        <f>C67</f>
        <v>Intercept</v>
      </c>
      <c r="S73" s="20">
        <f t="shared" ref="S73:AC73" si="16">70416.67+44982.29</f>
        <v>115398.95999999999</v>
      </c>
      <c r="T73" s="20">
        <f t="shared" si="16"/>
        <v>115398.95999999999</v>
      </c>
      <c r="U73" s="20">
        <f t="shared" si="16"/>
        <v>115398.95999999999</v>
      </c>
      <c r="V73" s="20">
        <f t="shared" si="16"/>
        <v>115398.95999999999</v>
      </c>
      <c r="W73" s="20">
        <f t="shared" si="16"/>
        <v>115398.95999999999</v>
      </c>
      <c r="X73" s="20">
        <f t="shared" si="16"/>
        <v>115398.95999999999</v>
      </c>
      <c r="Y73" s="20">
        <f t="shared" si="16"/>
        <v>115398.95999999999</v>
      </c>
      <c r="Z73" s="20">
        <f t="shared" si="16"/>
        <v>115398.95999999999</v>
      </c>
      <c r="AA73" s="20">
        <f t="shared" si="16"/>
        <v>115398.95999999999</v>
      </c>
      <c r="AB73" s="20">
        <f t="shared" si="16"/>
        <v>115398.95999999999</v>
      </c>
      <c r="AC73" s="20">
        <f t="shared" si="16"/>
        <v>115398.95999999999</v>
      </c>
      <c r="AD73" s="37">
        <f>74166.67+41461.46</f>
        <v>115628.13</v>
      </c>
      <c r="AE73" s="9">
        <f>SUM(S73:AD73)</f>
        <v>1385016.69</v>
      </c>
    </row>
    <row r="74" spans="1:31" ht="13.5" thickBot="1" x14ac:dyDescent="0.25">
      <c r="C74" s="10" t="s">
        <v>30</v>
      </c>
      <c r="S74" s="11">
        <f t="shared" ref="S74:AD74" si="17">SUM(S71:S73)</f>
        <v>116710.20999999999</v>
      </c>
      <c r="T74" s="11">
        <f t="shared" si="17"/>
        <v>116460.20999999999</v>
      </c>
      <c r="U74" s="11">
        <f t="shared" si="17"/>
        <v>116460.20999999999</v>
      </c>
      <c r="V74" s="11">
        <f t="shared" si="17"/>
        <v>116460.20999999999</v>
      </c>
      <c r="W74" s="11">
        <f t="shared" si="17"/>
        <v>116460.20999999999</v>
      </c>
      <c r="X74" s="11">
        <f t="shared" si="17"/>
        <v>116460.20999999999</v>
      </c>
      <c r="Y74" s="11">
        <f t="shared" si="17"/>
        <v>116460.20999999999</v>
      </c>
      <c r="Z74" s="11">
        <f t="shared" si="17"/>
        <v>116460.20999999999</v>
      </c>
      <c r="AA74" s="11">
        <f t="shared" si="17"/>
        <v>116392.70999999999</v>
      </c>
      <c r="AB74" s="11">
        <f t="shared" si="17"/>
        <v>116392.70999999999</v>
      </c>
      <c r="AC74" s="11">
        <f t="shared" si="17"/>
        <v>116392.70999999999</v>
      </c>
      <c r="AD74" s="38">
        <f t="shared" si="17"/>
        <v>116621.88</v>
      </c>
      <c r="AE74" s="11">
        <f>SUM(AE71:AE73)</f>
        <v>1397731.69</v>
      </c>
    </row>
    <row r="75" spans="1:31" x14ac:dyDescent="0.2">
      <c r="C75" s="12"/>
    </row>
    <row r="76" spans="1:31" ht="15.75" customHeight="1" x14ac:dyDescent="0.25">
      <c r="A76" s="15">
        <f>+A70+1</f>
        <v>9</v>
      </c>
      <c r="B76" s="18"/>
      <c r="C76" s="19" t="s">
        <v>31</v>
      </c>
    </row>
    <row r="77" spans="1:31" x14ac:dyDescent="0.2">
      <c r="C77" s="6" t="s">
        <v>5</v>
      </c>
      <c r="S77" s="20">
        <v>344.04</v>
      </c>
      <c r="T77" s="20">
        <v>344.04</v>
      </c>
      <c r="U77" s="20">
        <v>344.04</v>
      </c>
      <c r="V77" s="20">
        <v>344.03</v>
      </c>
      <c r="W77" s="20">
        <v>344.03</v>
      </c>
      <c r="X77" s="20">
        <v>344.03</v>
      </c>
      <c r="Y77" s="20">
        <v>344.03</v>
      </c>
      <c r="Z77" s="20">
        <v>320.22000000000003</v>
      </c>
      <c r="AA77" s="20">
        <v>320.22000000000003</v>
      </c>
      <c r="AB77" s="20">
        <v>320.22000000000003</v>
      </c>
      <c r="AC77" s="20">
        <v>320.22000000000003</v>
      </c>
      <c r="AD77" s="37">
        <v>320.22000000000003</v>
      </c>
      <c r="AE77" s="9">
        <f>SUM(S77:AD77)</f>
        <v>4009.3400000000011</v>
      </c>
    </row>
    <row r="78" spans="1:31" x14ac:dyDescent="0.2">
      <c r="C78" s="6" t="s">
        <v>6</v>
      </c>
      <c r="S78" s="20">
        <v>250</v>
      </c>
      <c r="AE78" s="9">
        <f>SUM(S78:AD78)</f>
        <v>250</v>
      </c>
    </row>
    <row r="79" spans="1:31" ht="13.5" thickBot="1" x14ac:dyDescent="0.25">
      <c r="C79" s="6" t="s">
        <v>7</v>
      </c>
      <c r="S79" s="20">
        <f>23817.72+11043.58</f>
        <v>34861.300000000003</v>
      </c>
      <c r="T79" s="20">
        <f>23817.72+11043.58</f>
        <v>34861.300000000003</v>
      </c>
      <c r="U79" s="20">
        <f>23817.71+11043.58</f>
        <v>34861.29</v>
      </c>
      <c r="V79" s="20">
        <f>23817.71+11043.58</f>
        <v>34861.29</v>
      </c>
      <c r="W79" s="20">
        <f>23817.71+11043.58</f>
        <v>34861.29</v>
      </c>
      <c r="X79" s="20">
        <f>23817.71+11043.58</f>
        <v>34861.29</v>
      </c>
      <c r="Y79" s="20">
        <f>23817.71+11043.58</f>
        <v>34861.29</v>
      </c>
      <c r="Z79" s="20">
        <f>24606.09+10279.04</f>
        <v>34885.130000000005</v>
      </c>
      <c r="AA79" s="20">
        <f>24606.09+10279.03</f>
        <v>34885.120000000003</v>
      </c>
      <c r="AB79" s="20">
        <f>24606.09+10279.03</f>
        <v>34885.120000000003</v>
      </c>
      <c r="AC79" s="20">
        <f>24606.08+10279.03</f>
        <v>34885.11</v>
      </c>
      <c r="AD79" s="37">
        <f>24606.08+10279.03</f>
        <v>34885.11</v>
      </c>
      <c r="AE79" s="9">
        <f>SUM(S79:AD79)</f>
        <v>418454.64</v>
      </c>
    </row>
    <row r="80" spans="1:31" ht="13.5" thickBot="1" x14ac:dyDescent="0.25">
      <c r="C80" s="10" t="s">
        <v>32</v>
      </c>
      <c r="S80" s="11">
        <f t="shared" ref="S80:AD80" si="18">SUM(S77:S79)</f>
        <v>35455.340000000004</v>
      </c>
      <c r="T80" s="11">
        <f t="shared" si="18"/>
        <v>35205.340000000004</v>
      </c>
      <c r="U80" s="11">
        <f t="shared" si="18"/>
        <v>35205.33</v>
      </c>
      <c r="V80" s="11">
        <f t="shared" si="18"/>
        <v>35205.32</v>
      </c>
      <c r="W80" s="11">
        <f t="shared" si="18"/>
        <v>35205.32</v>
      </c>
      <c r="X80" s="11">
        <f t="shared" si="18"/>
        <v>35205.32</v>
      </c>
      <c r="Y80" s="11">
        <f t="shared" si="18"/>
        <v>35205.32</v>
      </c>
      <c r="Z80" s="11">
        <f t="shared" si="18"/>
        <v>35205.350000000006</v>
      </c>
      <c r="AA80" s="11">
        <f t="shared" si="18"/>
        <v>35205.340000000004</v>
      </c>
      <c r="AB80" s="11">
        <f t="shared" si="18"/>
        <v>35205.340000000004</v>
      </c>
      <c r="AC80" s="11">
        <f t="shared" si="18"/>
        <v>35205.33</v>
      </c>
      <c r="AD80" s="38">
        <f t="shared" si="18"/>
        <v>35205.33</v>
      </c>
      <c r="AE80" s="11">
        <f>SUM(AE77:AE79)</f>
        <v>422713.98000000004</v>
      </c>
    </row>
    <row r="81" spans="1:31" x14ac:dyDescent="0.2">
      <c r="C81" s="12"/>
    </row>
    <row r="82" spans="1:31" ht="15.75" customHeight="1" x14ac:dyDescent="0.25">
      <c r="A82" s="15">
        <f>+A76+1</f>
        <v>10</v>
      </c>
      <c r="B82" s="18"/>
      <c r="C82" s="19" t="s">
        <v>33</v>
      </c>
    </row>
    <row r="83" spans="1:31" x14ac:dyDescent="0.2">
      <c r="C83" s="6" t="s">
        <v>5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25">
        <v>0</v>
      </c>
      <c r="AE83" s="9">
        <f>SUM(S83:AD83)</f>
        <v>0</v>
      </c>
    </row>
    <row r="84" spans="1:31" x14ac:dyDescent="0.2">
      <c r="C84" s="6" t="s">
        <v>6</v>
      </c>
      <c r="S84" s="20">
        <v>250</v>
      </c>
      <c r="AE84" s="9">
        <f>SUM(S84:AD84)</f>
        <v>250</v>
      </c>
    </row>
    <row r="85" spans="1:31" ht="13.5" thickBot="1" x14ac:dyDescent="0.25">
      <c r="C85" s="6" t="s">
        <v>7</v>
      </c>
      <c r="S85" s="20">
        <f>7083.33+96001.46</f>
        <v>103084.79000000001</v>
      </c>
      <c r="T85" s="20">
        <f t="shared" ref="T85:AD85" si="19">7083.33+96001.46</f>
        <v>103084.79000000001</v>
      </c>
      <c r="U85" s="20">
        <f t="shared" si="19"/>
        <v>103084.79000000001</v>
      </c>
      <c r="V85" s="20">
        <f t="shared" si="19"/>
        <v>103084.79000000001</v>
      </c>
      <c r="W85" s="20">
        <f t="shared" si="19"/>
        <v>103084.79000000001</v>
      </c>
      <c r="X85" s="20">
        <f t="shared" si="19"/>
        <v>103084.79000000001</v>
      </c>
      <c r="Y85" s="20">
        <f t="shared" si="19"/>
        <v>103084.79000000001</v>
      </c>
      <c r="Z85" s="20">
        <f t="shared" si="19"/>
        <v>103084.79000000001</v>
      </c>
      <c r="AA85" s="20">
        <f t="shared" si="19"/>
        <v>103084.79000000001</v>
      </c>
      <c r="AB85" s="20">
        <f t="shared" si="19"/>
        <v>103084.79000000001</v>
      </c>
      <c r="AC85" s="20">
        <f t="shared" si="19"/>
        <v>103084.79000000001</v>
      </c>
      <c r="AD85" s="37">
        <f t="shared" si="19"/>
        <v>103084.79000000001</v>
      </c>
      <c r="AE85" s="9">
        <f>SUM(S85:AD85)</f>
        <v>1237017.4800000002</v>
      </c>
    </row>
    <row r="86" spans="1:31" ht="13.5" thickBot="1" x14ac:dyDescent="0.25">
      <c r="C86" s="10" t="s">
        <v>14</v>
      </c>
      <c r="S86" s="11">
        <f t="shared" ref="S86:AD86" si="20">SUM(S83:S85)</f>
        <v>103334.79000000001</v>
      </c>
      <c r="T86" s="11">
        <f t="shared" si="20"/>
        <v>103084.79000000001</v>
      </c>
      <c r="U86" s="11">
        <f t="shared" si="20"/>
        <v>103084.79000000001</v>
      </c>
      <c r="V86" s="11">
        <f t="shared" si="20"/>
        <v>103084.79000000001</v>
      </c>
      <c r="W86" s="11">
        <f t="shared" si="20"/>
        <v>103084.79000000001</v>
      </c>
      <c r="X86" s="11">
        <f t="shared" si="20"/>
        <v>103084.79000000001</v>
      </c>
      <c r="Y86" s="11">
        <f t="shared" si="20"/>
        <v>103084.79000000001</v>
      </c>
      <c r="Z86" s="11">
        <f t="shared" si="20"/>
        <v>103084.79000000001</v>
      </c>
      <c r="AA86" s="11">
        <f t="shared" si="20"/>
        <v>103084.79000000001</v>
      </c>
      <c r="AB86" s="11">
        <f t="shared" si="20"/>
        <v>103084.79000000001</v>
      </c>
      <c r="AC86" s="11">
        <f t="shared" si="20"/>
        <v>103084.79000000001</v>
      </c>
      <c r="AD86" s="38">
        <f t="shared" si="20"/>
        <v>103084.79000000001</v>
      </c>
      <c r="AE86" s="11">
        <f>SUM(AE83:AE85)</f>
        <v>1237267.4800000002</v>
      </c>
    </row>
    <row r="87" spans="1:31" x14ac:dyDescent="0.2">
      <c r="C87" s="12"/>
    </row>
    <row r="88" spans="1:31" ht="15.75" x14ac:dyDescent="0.25">
      <c r="A88" s="15">
        <f>+A82+1</f>
        <v>11</v>
      </c>
      <c r="B88" s="18"/>
      <c r="C88" s="19" t="s">
        <v>34</v>
      </c>
    </row>
    <row r="89" spans="1:31" x14ac:dyDescent="0.2">
      <c r="C89" s="6" t="s">
        <v>5</v>
      </c>
      <c r="S89" s="20">
        <v>1065.42</v>
      </c>
      <c r="T89" s="20">
        <v>1065.42</v>
      </c>
      <c r="U89" s="20">
        <v>1065.42</v>
      </c>
      <c r="V89" s="20">
        <v>1065.42</v>
      </c>
      <c r="W89" s="20">
        <v>1065.42</v>
      </c>
      <c r="X89" s="20">
        <v>1065.42</v>
      </c>
      <c r="Y89" s="20">
        <v>1065.42</v>
      </c>
      <c r="Z89" s="20">
        <v>1065.42</v>
      </c>
      <c r="AA89" s="20">
        <v>1036.67</v>
      </c>
      <c r="AB89" s="20">
        <v>1036.67</v>
      </c>
      <c r="AC89" s="20">
        <v>1036.67</v>
      </c>
      <c r="AD89" s="37">
        <v>1036.67</v>
      </c>
      <c r="AE89" s="9">
        <f>SUM(S89:AD89)</f>
        <v>12670.04</v>
      </c>
    </row>
    <row r="90" spans="1:31" x14ac:dyDescent="0.2">
      <c r="C90" s="6" t="s">
        <v>6</v>
      </c>
      <c r="S90" s="20">
        <v>250</v>
      </c>
      <c r="AE90" s="9">
        <f>SUM(S90:AD90)</f>
        <v>250</v>
      </c>
    </row>
    <row r="91" spans="1:31" ht="13.5" thickBot="1" x14ac:dyDescent="0.25">
      <c r="C91" s="6" t="s">
        <v>7</v>
      </c>
      <c r="S91" s="20">
        <f>31666.67+57939.58</f>
        <v>89606.25</v>
      </c>
      <c r="T91" s="20">
        <f>31666.67+57939.58</f>
        <v>89606.25</v>
      </c>
      <c r="U91" s="20">
        <f>31666.67+57939.58</f>
        <v>89606.25</v>
      </c>
      <c r="V91" s="20">
        <f>31666.67+57939.58</f>
        <v>89606.25</v>
      </c>
      <c r="W91" s="20">
        <f>31666.67+57939.58</f>
        <v>89606.25</v>
      </c>
      <c r="X91" s="20">
        <f>31666.63+57939.6</f>
        <v>89606.23</v>
      </c>
      <c r="Y91" s="20">
        <f>32916.67+56841.15</f>
        <v>89757.82</v>
      </c>
      <c r="Z91" s="20">
        <f>32916.67+56841.15</f>
        <v>89757.82</v>
      </c>
      <c r="AA91" s="20">
        <f>32916.67+56841.15</f>
        <v>89757.82</v>
      </c>
      <c r="AB91" s="20">
        <f>32916.67+56841.15</f>
        <v>89757.82</v>
      </c>
      <c r="AC91" s="20">
        <f>32916.67+56841.15</f>
        <v>89757.82</v>
      </c>
      <c r="AD91" s="37">
        <f>32916.67+56841.13</f>
        <v>89757.799999999988</v>
      </c>
      <c r="AE91" s="9">
        <f>SUM(S91:AD91)</f>
        <v>1076184.3800000004</v>
      </c>
    </row>
    <row r="92" spans="1:31" ht="13.5" thickBot="1" x14ac:dyDescent="0.25">
      <c r="C92" s="10" t="s">
        <v>35</v>
      </c>
      <c r="S92" s="11">
        <f t="shared" ref="S92:AD92" si="21">SUM(S89:S91)</f>
        <v>90921.67</v>
      </c>
      <c r="T92" s="11">
        <f t="shared" si="21"/>
        <v>90671.67</v>
      </c>
      <c r="U92" s="11">
        <f t="shared" si="21"/>
        <v>90671.67</v>
      </c>
      <c r="V92" s="11">
        <f t="shared" si="21"/>
        <v>90671.67</v>
      </c>
      <c r="W92" s="11">
        <f t="shared" si="21"/>
        <v>90671.67</v>
      </c>
      <c r="X92" s="11">
        <f t="shared" si="21"/>
        <v>90671.65</v>
      </c>
      <c r="Y92" s="11">
        <f t="shared" si="21"/>
        <v>90823.24</v>
      </c>
      <c r="Z92" s="11">
        <f t="shared" si="21"/>
        <v>90823.24</v>
      </c>
      <c r="AA92" s="11">
        <f t="shared" si="21"/>
        <v>90794.49</v>
      </c>
      <c r="AB92" s="11">
        <f t="shared" si="21"/>
        <v>90794.49</v>
      </c>
      <c r="AC92" s="11">
        <f t="shared" si="21"/>
        <v>90794.49</v>
      </c>
      <c r="AD92" s="38">
        <f t="shared" si="21"/>
        <v>90794.469999999987</v>
      </c>
      <c r="AE92" s="11">
        <f>SUM(AE89:AE91)</f>
        <v>1089104.4200000004</v>
      </c>
    </row>
    <row r="93" spans="1:31" x14ac:dyDescent="0.2">
      <c r="C93" s="12"/>
    </row>
    <row r="94" spans="1:31" ht="15.75" x14ac:dyDescent="0.25">
      <c r="A94" s="15">
        <f>+A88+1</f>
        <v>12</v>
      </c>
      <c r="B94" s="18"/>
      <c r="C94" s="19" t="s">
        <v>36</v>
      </c>
    </row>
    <row r="95" spans="1:31" x14ac:dyDescent="0.2">
      <c r="C95" s="6" t="str">
        <f>C89</f>
        <v>Debt Reserve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25">
        <v>0</v>
      </c>
      <c r="AE95" s="9">
        <f>SUM(S95:AD95)</f>
        <v>0</v>
      </c>
    </row>
    <row r="96" spans="1:31" x14ac:dyDescent="0.2">
      <c r="C96" s="6" t="str">
        <f>C90</f>
        <v>Treasury Fee</v>
      </c>
      <c r="S96" s="20">
        <v>250</v>
      </c>
      <c r="AE96" s="9">
        <f>SUM(S96:AD96)</f>
        <v>250</v>
      </c>
    </row>
    <row r="97" spans="1:31" ht="13.5" thickBot="1" x14ac:dyDescent="0.25">
      <c r="C97" s="6" t="str">
        <f>C91</f>
        <v>Intercept</v>
      </c>
      <c r="S97" s="20">
        <v>39324.5</v>
      </c>
      <c r="T97" s="20">
        <v>39324.519999999997</v>
      </c>
      <c r="U97" s="20">
        <v>39324.519999999997</v>
      </c>
      <c r="V97" s="20">
        <v>39324.519999999997</v>
      </c>
      <c r="W97" s="20">
        <v>39324.519999999997</v>
      </c>
      <c r="X97" s="20">
        <v>39324.519999999997</v>
      </c>
      <c r="Y97" s="20">
        <v>39324.550000000003</v>
      </c>
      <c r="Z97" s="20">
        <v>39324.519999999997</v>
      </c>
      <c r="AA97" s="20">
        <v>39324.519999999997</v>
      </c>
      <c r="AB97" s="20">
        <v>39324.519999999997</v>
      </c>
      <c r="AC97" s="20">
        <v>39324.519999999997</v>
      </c>
      <c r="AD97" s="37">
        <f>23969.51+15355.01</f>
        <v>39324.519999999997</v>
      </c>
      <c r="AE97" s="9">
        <f>SUM(S97:AD97)</f>
        <v>471894.25000000006</v>
      </c>
    </row>
    <row r="98" spans="1:31" ht="13.5" thickBot="1" x14ac:dyDescent="0.25">
      <c r="C98" s="10" t="s">
        <v>37</v>
      </c>
      <c r="S98" s="11">
        <f t="shared" ref="S98:AD98" si="22">SUM(S95:S97)</f>
        <v>39574.5</v>
      </c>
      <c r="T98" s="11">
        <f t="shared" si="22"/>
        <v>39324.519999999997</v>
      </c>
      <c r="U98" s="11">
        <f t="shared" si="22"/>
        <v>39324.519999999997</v>
      </c>
      <c r="V98" s="11">
        <f t="shared" si="22"/>
        <v>39324.519999999997</v>
      </c>
      <c r="W98" s="11">
        <f t="shared" si="22"/>
        <v>39324.519999999997</v>
      </c>
      <c r="X98" s="11">
        <f t="shared" si="22"/>
        <v>39324.519999999997</v>
      </c>
      <c r="Y98" s="11">
        <f t="shared" si="22"/>
        <v>39324.550000000003</v>
      </c>
      <c r="Z98" s="11">
        <f t="shared" si="22"/>
        <v>39324.519999999997</v>
      </c>
      <c r="AA98" s="11">
        <f t="shared" si="22"/>
        <v>39324.519999999997</v>
      </c>
      <c r="AB98" s="11">
        <f t="shared" si="22"/>
        <v>39324.519999999997</v>
      </c>
      <c r="AC98" s="11">
        <f t="shared" si="22"/>
        <v>39324.519999999997</v>
      </c>
      <c r="AD98" s="38">
        <f t="shared" si="22"/>
        <v>39324.519999999997</v>
      </c>
      <c r="AE98" s="11">
        <f>SUM(AE95:AE97)</f>
        <v>472144.25000000006</v>
      </c>
    </row>
    <row r="99" spans="1:31" x14ac:dyDescent="0.2">
      <c r="C99" s="12"/>
    </row>
    <row r="100" spans="1:31" ht="15.75" x14ac:dyDescent="0.25">
      <c r="A100" s="15">
        <f>+A94+1</f>
        <v>13</v>
      </c>
      <c r="B100" s="18"/>
      <c r="C100" s="19" t="s">
        <v>38</v>
      </c>
    </row>
    <row r="101" spans="1:31" x14ac:dyDescent="0.2">
      <c r="C101" s="6" t="str">
        <f>C95</f>
        <v>Debt Reserve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25">
        <v>0</v>
      </c>
      <c r="AE101" s="9">
        <f>SUM(S101:AD101)</f>
        <v>0</v>
      </c>
    </row>
    <row r="102" spans="1:31" x14ac:dyDescent="0.2">
      <c r="C102" s="6" t="str">
        <f>C96</f>
        <v>Treasury Fee</v>
      </c>
      <c r="S102" s="20">
        <v>250</v>
      </c>
      <c r="AE102" s="9">
        <f>SUM(S102:AD102)</f>
        <v>250</v>
      </c>
    </row>
    <row r="103" spans="1:31" ht="13.5" thickBot="1" x14ac:dyDescent="0.25">
      <c r="C103" s="6" t="str">
        <f>C97</f>
        <v>Intercept</v>
      </c>
      <c r="S103" s="20">
        <f t="shared" ref="S103:U103" si="23">5000+14734.79</f>
        <v>19734.79</v>
      </c>
      <c r="T103" s="20">
        <f t="shared" si="23"/>
        <v>19734.79</v>
      </c>
      <c r="U103" s="20">
        <f t="shared" si="23"/>
        <v>19734.79</v>
      </c>
      <c r="V103" s="20">
        <f>5000+14734.8</f>
        <v>19734.8</v>
      </c>
      <c r="W103" s="20">
        <f>5416.67+14467.29</f>
        <v>19883.96</v>
      </c>
      <c r="X103" s="20">
        <f t="shared" ref="X103:AD103" si="24">5416.67+14467.29</f>
        <v>19883.96</v>
      </c>
      <c r="Y103" s="20">
        <f t="shared" si="24"/>
        <v>19883.96</v>
      </c>
      <c r="Z103" s="20">
        <f t="shared" si="24"/>
        <v>19883.96</v>
      </c>
      <c r="AA103" s="20">
        <f t="shared" si="24"/>
        <v>19883.96</v>
      </c>
      <c r="AB103" s="20">
        <f>5416.67+14467.3</f>
        <v>19883.97</v>
      </c>
      <c r="AC103" s="20">
        <f t="shared" si="24"/>
        <v>19883.96</v>
      </c>
      <c r="AD103" s="37">
        <f t="shared" si="24"/>
        <v>19883.96</v>
      </c>
      <c r="AE103" s="9">
        <f>SUM(S103:AD103)</f>
        <v>238010.85999999996</v>
      </c>
    </row>
    <row r="104" spans="1:31" ht="13.5" thickBot="1" x14ac:dyDescent="0.25">
      <c r="C104" s="10" t="s">
        <v>39</v>
      </c>
      <c r="S104" s="11">
        <f t="shared" ref="S104:AD104" si="25">SUM(S101:S103)</f>
        <v>19984.79</v>
      </c>
      <c r="T104" s="11">
        <f t="shared" si="25"/>
        <v>19734.79</v>
      </c>
      <c r="U104" s="11">
        <f t="shared" si="25"/>
        <v>19734.79</v>
      </c>
      <c r="V104" s="11">
        <f t="shared" si="25"/>
        <v>19734.8</v>
      </c>
      <c r="W104" s="11">
        <f t="shared" si="25"/>
        <v>19883.96</v>
      </c>
      <c r="X104" s="11">
        <f t="shared" si="25"/>
        <v>19883.96</v>
      </c>
      <c r="Y104" s="11">
        <f t="shared" si="25"/>
        <v>19883.96</v>
      </c>
      <c r="Z104" s="11">
        <f t="shared" si="25"/>
        <v>19883.96</v>
      </c>
      <c r="AA104" s="11">
        <f t="shared" si="25"/>
        <v>19883.96</v>
      </c>
      <c r="AB104" s="11">
        <f t="shared" si="25"/>
        <v>19883.97</v>
      </c>
      <c r="AC104" s="11">
        <f t="shared" si="25"/>
        <v>19883.96</v>
      </c>
      <c r="AD104" s="38">
        <f t="shared" si="25"/>
        <v>19883.96</v>
      </c>
      <c r="AE104" s="11">
        <f>SUM(AE101:AE103)</f>
        <v>238260.85999999996</v>
      </c>
    </row>
    <row r="105" spans="1:31" x14ac:dyDescent="0.2">
      <c r="C105" s="12"/>
    </row>
    <row r="106" spans="1:31" ht="15.75" x14ac:dyDescent="0.25">
      <c r="A106" s="15">
        <f>+A100+1</f>
        <v>14</v>
      </c>
      <c r="B106" s="18"/>
      <c r="C106" s="19" t="s">
        <v>40</v>
      </c>
    </row>
    <row r="107" spans="1:31" x14ac:dyDescent="0.2">
      <c r="C107" s="6" t="str">
        <f>C101</f>
        <v>Debt Reserve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25">
        <v>0</v>
      </c>
      <c r="AE107" s="9">
        <f>SUM(S107:AD107)</f>
        <v>0</v>
      </c>
    </row>
    <row r="108" spans="1:31" x14ac:dyDescent="0.2">
      <c r="C108" s="6" t="str">
        <f>C102</f>
        <v>Treasury Fee</v>
      </c>
      <c r="S108" s="20">
        <v>250</v>
      </c>
      <c r="AE108" s="9">
        <f>SUM(S108:AD108)</f>
        <v>250</v>
      </c>
    </row>
    <row r="109" spans="1:31" ht="13.5" thickBot="1" x14ac:dyDescent="0.25">
      <c r="C109" s="6" t="str">
        <f>C103</f>
        <v>Intercept</v>
      </c>
      <c r="S109" s="20">
        <f t="shared" ref="S109:AB109" si="26">40000+117611.98</f>
        <v>157611.97999999998</v>
      </c>
      <c r="T109" s="20">
        <f t="shared" si="26"/>
        <v>157611.97999999998</v>
      </c>
      <c r="U109" s="20">
        <f t="shared" si="26"/>
        <v>157611.97999999998</v>
      </c>
      <c r="V109" s="20">
        <f t="shared" si="26"/>
        <v>157611.97999999998</v>
      </c>
      <c r="W109" s="20">
        <f t="shared" si="26"/>
        <v>157611.97999999998</v>
      </c>
      <c r="X109" s="20">
        <f t="shared" si="26"/>
        <v>157611.97999999998</v>
      </c>
      <c r="Y109" s="20">
        <f t="shared" si="26"/>
        <v>157611.97999999998</v>
      </c>
      <c r="Z109" s="20">
        <f t="shared" si="26"/>
        <v>157611.97999999998</v>
      </c>
      <c r="AA109" s="20">
        <f t="shared" si="26"/>
        <v>157611.97999999998</v>
      </c>
      <c r="AB109" s="20">
        <f t="shared" si="26"/>
        <v>157611.97999999998</v>
      </c>
      <c r="AC109" s="20">
        <f>42083.33+115961.98</f>
        <v>158045.31</v>
      </c>
      <c r="AD109" s="37">
        <f>42083.33+115961.98</f>
        <v>158045.31</v>
      </c>
      <c r="AE109" s="9">
        <f>SUM(S109:AD109)</f>
        <v>1892210.42</v>
      </c>
    </row>
    <row r="110" spans="1:31" ht="13.5" thickBot="1" x14ac:dyDescent="0.25">
      <c r="C110" s="10" t="s">
        <v>41</v>
      </c>
      <c r="S110" s="11">
        <f t="shared" ref="S110:AD110" si="27">SUM(S107:S109)</f>
        <v>157861.97999999998</v>
      </c>
      <c r="T110" s="11">
        <f t="shared" si="27"/>
        <v>157611.97999999998</v>
      </c>
      <c r="U110" s="11">
        <f t="shared" si="27"/>
        <v>157611.97999999998</v>
      </c>
      <c r="V110" s="11">
        <f t="shared" si="27"/>
        <v>157611.97999999998</v>
      </c>
      <c r="W110" s="11">
        <f t="shared" si="27"/>
        <v>157611.97999999998</v>
      </c>
      <c r="X110" s="11">
        <f t="shared" si="27"/>
        <v>157611.97999999998</v>
      </c>
      <c r="Y110" s="11">
        <f t="shared" si="27"/>
        <v>157611.97999999998</v>
      </c>
      <c r="Z110" s="11">
        <f t="shared" si="27"/>
        <v>157611.97999999998</v>
      </c>
      <c r="AA110" s="11">
        <f t="shared" si="27"/>
        <v>157611.97999999998</v>
      </c>
      <c r="AB110" s="11">
        <f t="shared" si="27"/>
        <v>157611.97999999998</v>
      </c>
      <c r="AC110" s="11">
        <f t="shared" si="27"/>
        <v>158045.31</v>
      </c>
      <c r="AD110" s="38">
        <f t="shared" si="27"/>
        <v>158045.31</v>
      </c>
      <c r="AE110" s="11">
        <f>SUM(AE107:AE109)</f>
        <v>1892460.42</v>
      </c>
    </row>
    <row r="111" spans="1:31" x14ac:dyDescent="0.2">
      <c r="C111" s="12"/>
    </row>
    <row r="112" spans="1:31" ht="15.75" x14ac:dyDescent="0.25">
      <c r="A112" s="15">
        <f>+A106+1</f>
        <v>15</v>
      </c>
      <c r="B112" s="18"/>
      <c r="C112" s="19" t="s">
        <v>42</v>
      </c>
    </row>
    <row r="113" spans="1:31" x14ac:dyDescent="0.2">
      <c r="C113" s="6" t="str">
        <f>C107</f>
        <v>Debt Reserve</v>
      </c>
      <c r="S113" s="20">
        <v>1043.75</v>
      </c>
      <c r="T113" s="20">
        <v>1043.75</v>
      </c>
      <c r="U113" s="20">
        <v>1043.75</v>
      </c>
      <c r="V113" s="20">
        <v>1043.75</v>
      </c>
      <c r="W113" s="20">
        <v>1043.75</v>
      </c>
      <c r="X113" s="20">
        <v>1043.75</v>
      </c>
      <c r="Y113" s="20">
        <v>1043.75</v>
      </c>
      <c r="Z113" s="20">
        <v>1043.75</v>
      </c>
      <c r="AA113" s="20">
        <v>1043.75</v>
      </c>
      <c r="AB113" s="20">
        <v>1043.75</v>
      </c>
      <c r="AC113" s="20">
        <v>1043.75</v>
      </c>
      <c r="AD113" s="37">
        <v>1043.75</v>
      </c>
      <c r="AE113" s="9">
        <f>SUM(S113:AD113)</f>
        <v>12525</v>
      </c>
    </row>
    <row r="114" spans="1:31" x14ac:dyDescent="0.2">
      <c r="C114" s="6" t="str">
        <f>C108</f>
        <v>Treasury Fee</v>
      </c>
      <c r="S114" s="20">
        <v>250</v>
      </c>
      <c r="AE114" s="9">
        <f>SUM(S114:AD114)</f>
        <v>250</v>
      </c>
    </row>
    <row r="115" spans="1:31" ht="13.5" thickBot="1" x14ac:dyDescent="0.25">
      <c r="C115" s="6" t="str">
        <f>C109</f>
        <v>Intercept</v>
      </c>
      <c r="S115" s="20">
        <f t="shared" ref="S115" si="28">64166.67+54379.17</f>
        <v>118545.84</v>
      </c>
      <c r="T115" s="20">
        <f>66666.67+51812.5</f>
        <v>118479.17</v>
      </c>
      <c r="U115" s="20">
        <f t="shared" ref="U115:AD115" si="29">66666.67+51812.5</f>
        <v>118479.17</v>
      </c>
      <c r="V115" s="20">
        <f t="shared" si="29"/>
        <v>118479.17</v>
      </c>
      <c r="W115" s="20">
        <f t="shared" si="29"/>
        <v>118479.17</v>
      </c>
      <c r="X115" s="20">
        <f t="shared" si="29"/>
        <v>118479.17</v>
      </c>
      <c r="Y115" s="20">
        <f t="shared" si="29"/>
        <v>118479.17</v>
      </c>
      <c r="Z115" s="20">
        <f t="shared" si="29"/>
        <v>118479.17</v>
      </c>
      <c r="AA115" s="20">
        <f t="shared" si="29"/>
        <v>118479.17</v>
      </c>
      <c r="AB115" s="20">
        <f t="shared" si="29"/>
        <v>118479.17</v>
      </c>
      <c r="AC115" s="20">
        <f t="shared" si="29"/>
        <v>118479.17</v>
      </c>
      <c r="AD115" s="37">
        <f t="shared" si="29"/>
        <v>118479.17</v>
      </c>
      <c r="AE115" s="9">
        <f>SUM(S115:AD115)</f>
        <v>1421816.71</v>
      </c>
    </row>
    <row r="116" spans="1:31" ht="13.5" thickBot="1" x14ac:dyDescent="0.25">
      <c r="C116" s="10" t="s">
        <v>43</v>
      </c>
      <c r="S116" s="11">
        <f t="shared" ref="S116:AD116" si="30">SUM(S113:S115)</f>
        <v>119839.59</v>
      </c>
      <c r="T116" s="11">
        <f t="shared" si="30"/>
        <v>119522.92</v>
      </c>
      <c r="U116" s="11">
        <f t="shared" si="30"/>
        <v>119522.92</v>
      </c>
      <c r="V116" s="11">
        <f t="shared" si="30"/>
        <v>119522.92</v>
      </c>
      <c r="W116" s="11">
        <f t="shared" si="30"/>
        <v>119522.92</v>
      </c>
      <c r="X116" s="11">
        <f t="shared" si="30"/>
        <v>119522.92</v>
      </c>
      <c r="Y116" s="11">
        <f t="shared" si="30"/>
        <v>119522.92</v>
      </c>
      <c r="Z116" s="11">
        <f t="shared" si="30"/>
        <v>119522.92</v>
      </c>
      <c r="AA116" s="11">
        <f t="shared" si="30"/>
        <v>119522.92</v>
      </c>
      <c r="AB116" s="11">
        <f t="shared" si="30"/>
        <v>119522.92</v>
      </c>
      <c r="AC116" s="11">
        <f t="shared" si="30"/>
        <v>119522.92</v>
      </c>
      <c r="AD116" s="38">
        <f t="shared" si="30"/>
        <v>119522.92</v>
      </c>
      <c r="AE116" s="11">
        <f>SUM(AE113:AE115)</f>
        <v>1434591.71</v>
      </c>
    </row>
    <row r="117" spans="1:31" x14ac:dyDescent="0.2">
      <c r="C117" s="12"/>
    </row>
    <row r="118" spans="1:31" ht="15.75" x14ac:dyDescent="0.25">
      <c r="A118" s="15">
        <f>+A112+1</f>
        <v>16</v>
      </c>
      <c r="B118" s="18"/>
      <c r="C118" s="19" t="s">
        <v>44</v>
      </c>
    </row>
    <row r="119" spans="1:31" x14ac:dyDescent="0.2">
      <c r="C119" s="6" t="str">
        <f>C113</f>
        <v>Debt Reserve</v>
      </c>
      <c r="S119" s="20">
        <v>1580.83</v>
      </c>
      <c r="T119" s="20">
        <v>1580.83</v>
      </c>
      <c r="U119" s="20">
        <v>1580.83</v>
      </c>
      <c r="V119" s="20">
        <v>1580.83</v>
      </c>
      <c r="W119" s="20">
        <v>1539.58</v>
      </c>
      <c r="X119" s="20">
        <v>1539.58</v>
      </c>
      <c r="Y119" s="20">
        <v>1539.58</v>
      </c>
      <c r="Z119" s="20">
        <v>1539.58</v>
      </c>
      <c r="AA119" s="20">
        <v>1539.58</v>
      </c>
      <c r="AB119" s="20">
        <v>1539.58</v>
      </c>
      <c r="AC119" s="20">
        <v>1539.58</v>
      </c>
      <c r="AD119" s="37">
        <v>1539.58</v>
      </c>
      <c r="AE119" s="9">
        <f>SUM(S119:AD119)</f>
        <v>18639.96</v>
      </c>
    </row>
    <row r="120" spans="1:31" x14ac:dyDescent="0.2">
      <c r="C120" s="6" t="str">
        <f>C114</f>
        <v>Treasury Fee</v>
      </c>
      <c r="S120" s="20">
        <v>250</v>
      </c>
      <c r="AE120" s="9">
        <f>SUM(S120:AD120)</f>
        <v>250</v>
      </c>
    </row>
    <row r="121" spans="1:31" ht="13.5" thickBot="1" x14ac:dyDescent="0.25">
      <c r="C121" s="6" t="str">
        <f>C115</f>
        <v>Intercept</v>
      </c>
      <c r="S121" s="20">
        <f t="shared" ref="S121:U121" si="31">41250+67415.63</f>
        <v>108665.63</v>
      </c>
      <c r="T121" s="20">
        <f t="shared" si="31"/>
        <v>108665.63</v>
      </c>
      <c r="U121" s="20">
        <f t="shared" si="31"/>
        <v>108665.63</v>
      </c>
      <c r="V121" s="20">
        <f>41250+67415.6</f>
        <v>108665.60000000001</v>
      </c>
      <c r="W121" s="20">
        <f>42916.67+65765.63</f>
        <v>108682.3</v>
      </c>
      <c r="X121" s="20">
        <f t="shared" ref="X121:AD121" si="32">42916.67+65765.63</f>
        <v>108682.3</v>
      </c>
      <c r="Y121" s="20">
        <f t="shared" si="32"/>
        <v>108682.3</v>
      </c>
      <c r="Z121" s="20">
        <f t="shared" si="32"/>
        <v>108682.3</v>
      </c>
      <c r="AA121" s="20">
        <f t="shared" si="32"/>
        <v>108682.3</v>
      </c>
      <c r="AB121" s="20">
        <f>42916.67+65765.6</f>
        <v>108682.27</v>
      </c>
      <c r="AC121" s="20">
        <f t="shared" si="32"/>
        <v>108682.3</v>
      </c>
      <c r="AD121" s="37">
        <f t="shared" si="32"/>
        <v>108682.3</v>
      </c>
      <c r="AE121" s="9">
        <f>SUM(S121:AD121)</f>
        <v>1304120.8600000003</v>
      </c>
    </row>
    <row r="122" spans="1:31" ht="13.5" thickBot="1" x14ac:dyDescent="0.25">
      <c r="C122" s="10" t="s">
        <v>20</v>
      </c>
      <c r="S122" s="11">
        <f t="shared" ref="S122:AD122" si="33">SUM(S119:S121)</f>
        <v>110496.46</v>
      </c>
      <c r="T122" s="11">
        <f t="shared" si="33"/>
        <v>110246.46</v>
      </c>
      <c r="U122" s="11">
        <f t="shared" si="33"/>
        <v>110246.46</v>
      </c>
      <c r="V122" s="11">
        <f t="shared" si="33"/>
        <v>110246.43000000001</v>
      </c>
      <c r="W122" s="11">
        <f t="shared" si="33"/>
        <v>110221.88</v>
      </c>
      <c r="X122" s="11">
        <f t="shared" si="33"/>
        <v>110221.88</v>
      </c>
      <c r="Y122" s="11">
        <f t="shared" si="33"/>
        <v>110221.88</v>
      </c>
      <c r="Z122" s="11">
        <f t="shared" si="33"/>
        <v>110221.88</v>
      </c>
      <c r="AA122" s="11">
        <f t="shared" si="33"/>
        <v>110221.88</v>
      </c>
      <c r="AB122" s="11">
        <f t="shared" si="33"/>
        <v>110221.85</v>
      </c>
      <c r="AC122" s="11">
        <f t="shared" si="33"/>
        <v>110221.88</v>
      </c>
      <c r="AD122" s="38">
        <f t="shared" si="33"/>
        <v>110221.88</v>
      </c>
      <c r="AE122" s="11">
        <f>SUM(AE119:AE121)</f>
        <v>1323010.8200000003</v>
      </c>
    </row>
    <row r="123" spans="1:31" x14ac:dyDescent="0.2">
      <c r="C123" s="12"/>
    </row>
    <row r="124" spans="1:31" ht="15.75" x14ac:dyDescent="0.25">
      <c r="A124" s="15">
        <f>+A118+1</f>
        <v>17</v>
      </c>
      <c r="C124" s="19" t="s">
        <v>45</v>
      </c>
    </row>
    <row r="125" spans="1:31" x14ac:dyDescent="0.2">
      <c r="C125" s="6" t="s">
        <v>5</v>
      </c>
      <c r="S125" s="20">
        <v>2481.25</v>
      </c>
      <c r="T125" s="20">
        <v>2481.25</v>
      </c>
      <c r="U125" s="20">
        <v>2481.25</v>
      </c>
      <c r="V125" s="20">
        <v>2481.25</v>
      </c>
      <c r="W125" s="20">
        <v>2481.25</v>
      </c>
      <c r="X125" s="20">
        <v>2481.25</v>
      </c>
      <c r="Y125" s="20">
        <v>2389.17</v>
      </c>
      <c r="Z125" s="20">
        <v>2389.17</v>
      </c>
      <c r="AA125" s="20">
        <v>2389.17</v>
      </c>
      <c r="AB125" s="20">
        <v>2389.17</v>
      </c>
      <c r="AC125" s="20">
        <v>2389.17</v>
      </c>
      <c r="AD125" s="37">
        <v>2389.17</v>
      </c>
      <c r="AE125" s="9">
        <f>SUM(S125:AD125)</f>
        <v>29222.51999999999</v>
      </c>
    </row>
    <row r="126" spans="1:31" x14ac:dyDescent="0.2">
      <c r="C126" s="6" t="s">
        <v>6</v>
      </c>
      <c r="S126" s="20">
        <v>250</v>
      </c>
      <c r="AE126" s="9">
        <f>SUM(S126:AD126)</f>
        <v>250</v>
      </c>
    </row>
    <row r="127" spans="1:31" ht="13.5" thickBot="1" x14ac:dyDescent="0.25">
      <c r="C127" s="6" t="s">
        <v>7</v>
      </c>
      <c r="S127" s="20">
        <f t="shared" ref="S127:V127" si="34">92083.33+107931.25</f>
        <v>200014.58000000002</v>
      </c>
      <c r="T127" s="20">
        <f t="shared" si="34"/>
        <v>200014.58000000002</v>
      </c>
      <c r="U127" s="20">
        <f t="shared" si="34"/>
        <v>200014.58000000002</v>
      </c>
      <c r="V127" s="20">
        <f t="shared" si="34"/>
        <v>200014.58000000002</v>
      </c>
      <c r="W127" s="20">
        <f>92083.37+107931.25</f>
        <v>200014.62</v>
      </c>
      <c r="X127" s="20">
        <f>95833.33+104247.92</f>
        <v>200081.25</v>
      </c>
      <c r="Y127" s="20">
        <f t="shared" ref="Y127:AD127" si="35">95833.33+104247.92</f>
        <v>200081.25</v>
      </c>
      <c r="Z127" s="20">
        <f t="shared" si="35"/>
        <v>200081.25</v>
      </c>
      <c r="AA127" s="20">
        <f t="shared" si="35"/>
        <v>200081.25</v>
      </c>
      <c r="AB127" s="20">
        <f t="shared" si="35"/>
        <v>200081.25</v>
      </c>
      <c r="AC127" s="20">
        <f>95833.33+104247.9</f>
        <v>200081.22999999998</v>
      </c>
      <c r="AD127" s="37">
        <f t="shared" si="35"/>
        <v>200081.25</v>
      </c>
      <c r="AE127" s="9">
        <f>SUM(S127:AD127)</f>
        <v>2400641.67</v>
      </c>
    </row>
    <row r="128" spans="1:31" ht="13.5" thickBot="1" x14ac:dyDescent="0.25">
      <c r="C128" s="10" t="s">
        <v>46</v>
      </c>
      <c r="S128" s="11">
        <f t="shared" ref="S128:AD128" si="36">SUM(S125:S127)</f>
        <v>202745.83000000002</v>
      </c>
      <c r="T128" s="11">
        <f t="shared" si="36"/>
        <v>202495.83000000002</v>
      </c>
      <c r="U128" s="11">
        <f t="shared" si="36"/>
        <v>202495.83000000002</v>
      </c>
      <c r="V128" s="11">
        <f t="shared" si="36"/>
        <v>202495.83000000002</v>
      </c>
      <c r="W128" s="11">
        <f t="shared" si="36"/>
        <v>202495.87</v>
      </c>
      <c r="X128" s="11">
        <f t="shared" si="36"/>
        <v>202562.5</v>
      </c>
      <c r="Y128" s="11">
        <f t="shared" si="36"/>
        <v>202470.42</v>
      </c>
      <c r="Z128" s="11">
        <f t="shared" si="36"/>
        <v>202470.42</v>
      </c>
      <c r="AA128" s="11">
        <f t="shared" si="36"/>
        <v>202470.42</v>
      </c>
      <c r="AB128" s="11">
        <f t="shared" si="36"/>
        <v>202470.42</v>
      </c>
      <c r="AC128" s="11">
        <f t="shared" si="36"/>
        <v>202470.39999999999</v>
      </c>
      <c r="AD128" s="38">
        <f t="shared" si="36"/>
        <v>202470.42</v>
      </c>
      <c r="AE128" s="11">
        <f>SUM(AE125:AE127)</f>
        <v>2430114.19</v>
      </c>
    </row>
    <row r="129" spans="1:31" x14ac:dyDescent="0.2">
      <c r="C129" s="12"/>
    </row>
    <row r="130" spans="1:31" ht="15.75" x14ac:dyDescent="0.25">
      <c r="A130" s="15">
        <f>+A124+1</f>
        <v>18</v>
      </c>
      <c r="C130" s="19" t="s">
        <v>47</v>
      </c>
    </row>
    <row r="131" spans="1:31" x14ac:dyDescent="0.2">
      <c r="C131" s="6" t="s">
        <v>5</v>
      </c>
      <c r="S131" s="20">
        <v>418.33</v>
      </c>
      <c r="T131" s="20">
        <v>418.33</v>
      </c>
      <c r="U131" s="20">
        <v>418.33</v>
      </c>
      <c r="V131" s="20">
        <v>418.33</v>
      </c>
      <c r="W131" s="20">
        <v>407.08</v>
      </c>
      <c r="X131" s="20">
        <v>407.08</v>
      </c>
      <c r="Y131" s="20">
        <v>407.08</v>
      </c>
      <c r="Z131" s="20">
        <v>407.08</v>
      </c>
      <c r="AA131" s="20">
        <v>407.08</v>
      </c>
      <c r="AB131" s="20">
        <v>407.08</v>
      </c>
      <c r="AC131" s="20">
        <v>407.08</v>
      </c>
      <c r="AD131" s="37">
        <v>407.08</v>
      </c>
      <c r="AE131" s="9">
        <f>SUM(S131:AD131)</f>
        <v>4929.96</v>
      </c>
    </row>
    <row r="132" spans="1:31" x14ac:dyDescent="0.2">
      <c r="C132" s="6" t="s">
        <v>6</v>
      </c>
      <c r="S132" s="20">
        <v>250</v>
      </c>
      <c r="AE132" s="9">
        <f>SUM(S132:AD132)</f>
        <v>250</v>
      </c>
    </row>
    <row r="133" spans="1:31" ht="13.5" thickBot="1" x14ac:dyDescent="0.25">
      <c r="C133" s="6" t="s">
        <v>7</v>
      </c>
      <c r="S133" s="20">
        <f t="shared" ref="S133" si="37">11250+17077.08</f>
        <v>28327.08</v>
      </c>
      <c r="T133" s="20">
        <f>11666.67+16627.08</f>
        <v>28293.75</v>
      </c>
      <c r="U133" s="20">
        <f t="shared" ref="U133:AD133" si="38">11666.67+16627.08</f>
        <v>28293.75</v>
      </c>
      <c r="V133" s="20">
        <f t="shared" si="38"/>
        <v>28293.75</v>
      </c>
      <c r="W133" s="20">
        <f t="shared" si="38"/>
        <v>28293.75</v>
      </c>
      <c r="X133" s="20">
        <f t="shared" si="38"/>
        <v>28293.75</v>
      </c>
      <c r="Y133" s="20">
        <f t="shared" si="38"/>
        <v>28293.75</v>
      </c>
      <c r="Z133" s="20">
        <f t="shared" si="38"/>
        <v>28293.75</v>
      </c>
      <c r="AA133" s="20">
        <f t="shared" si="38"/>
        <v>28293.75</v>
      </c>
      <c r="AB133" s="20">
        <f t="shared" si="38"/>
        <v>28293.75</v>
      </c>
      <c r="AC133" s="20">
        <f t="shared" si="38"/>
        <v>28293.75</v>
      </c>
      <c r="AD133" s="37">
        <f t="shared" si="38"/>
        <v>28293.75</v>
      </c>
      <c r="AE133" s="9">
        <f>SUM(S133:AD133)</f>
        <v>339558.33</v>
      </c>
    </row>
    <row r="134" spans="1:31" ht="13.5" thickBot="1" x14ac:dyDescent="0.25">
      <c r="C134" s="10" t="s">
        <v>48</v>
      </c>
      <c r="S134" s="11">
        <f t="shared" ref="S134:AD134" si="39">SUM(S131:S133)</f>
        <v>28995.410000000003</v>
      </c>
      <c r="T134" s="11">
        <f t="shared" si="39"/>
        <v>28712.080000000002</v>
      </c>
      <c r="U134" s="11">
        <f t="shared" si="39"/>
        <v>28712.080000000002</v>
      </c>
      <c r="V134" s="11">
        <f t="shared" si="39"/>
        <v>28712.080000000002</v>
      </c>
      <c r="W134" s="11">
        <f t="shared" si="39"/>
        <v>28700.83</v>
      </c>
      <c r="X134" s="11">
        <f t="shared" si="39"/>
        <v>28700.83</v>
      </c>
      <c r="Y134" s="11">
        <f t="shared" si="39"/>
        <v>28700.83</v>
      </c>
      <c r="Z134" s="11">
        <f t="shared" si="39"/>
        <v>28700.83</v>
      </c>
      <c r="AA134" s="11">
        <f t="shared" si="39"/>
        <v>28700.83</v>
      </c>
      <c r="AB134" s="11">
        <f t="shared" si="39"/>
        <v>28700.83</v>
      </c>
      <c r="AC134" s="11">
        <f t="shared" si="39"/>
        <v>28700.83</v>
      </c>
      <c r="AD134" s="38">
        <f t="shared" si="39"/>
        <v>28700.83</v>
      </c>
      <c r="AE134" s="11">
        <f>SUM(AE131:AE133)</f>
        <v>344738.29000000004</v>
      </c>
    </row>
    <row r="135" spans="1:31" x14ac:dyDescent="0.2">
      <c r="C135" s="12"/>
    </row>
    <row r="136" spans="1:31" ht="15.75" x14ac:dyDescent="0.25">
      <c r="A136" s="15">
        <f>+A130+1</f>
        <v>19</v>
      </c>
      <c r="C136" s="19" t="s">
        <v>49</v>
      </c>
    </row>
    <row r="137" spans="1:31" x14ac:dyDescent="0.2">
      <c r="C137" s="6" t="s">
        <v>5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25">
        <v>0</v>
      </c>
      <c r="AE137" s="9">
        <f>SUM(S137:AD137)</f>
        <v>0</v>
      </c>
    </row>
    <row r="138" spans="1:31" x14ac:dyDescent="0.2">
      <c r="C138" s="6" t="s">
        <v>6</v>
      </c>
      <c r="S138" s="20">
        <v>250</v>
      </c>
      <c r="AE138" s="9">
        <f>SUM(S138:AD138)</f>
        <v>250</v>
      </c>
    </row>
    <row r="139" spans="1:31" ht="13.5" thickBot="1" x14ac:dyDescent="0.25">
      <c r="C139" s="6" t="s">
        <v>7</v>
      </c>
      <c r="S139" s="20">
        <f t="shared" ref="S139:V139" si="40">20000+53951.56</f>
        <v>73951.56</v>
      </c>
      <c r="T139" s="20">
        <f t="shared" si="40"/>
        <v>73951.56</v>
      </c>
      <c r="U139" s="20">
        <f t="shared" si="40"/>
        <v>73951.56</v>
      </c>
      <c r="V139" s="20">
        <f t="shared" si="40"/>
        <v>73951.56</v>
      </c>
      <c r="W139" s="20">
        <v>73984.899999999994</v>
      </c>
      <c r="X139" s="20">
        <v>73984.899999999994</v>
      </c>
      <c r="Y139" s="20">
        <v>73984.899999999994</v>
      </c>
      <c r="Z139" s="20">
        <v>73984.899999999994</v>
      </c>
      <c r="AA139" s="20">
        <v>73984.899999999994</v>
      </c>
      <c r="AB139" s="20">
        <v>73984.899999999994</v>
      </c>
      <c r="AC139" s="20">
        <v>73984.899999999994</v>
      </c>
      <c r="AD139" s="37">
        <v>73984.899999999994</v>
      </c>
      <c r="AE139" s="9">
        <f>SUM(S139:AD139)</f>
        <v>887685.44000000018</v>
      </c>
    </row>
    <row r="140" spans="1:31" ht="13.5" thickBot="1" x14ac:dyDescent="0.25">
      <c r="C140" s="10" t="s">
        <v>50</v>
      </c>
      <c r="S140" s="11">
        <f t="shared" ref="S140:AD140" si="41">SUM(S137:S139)</f>
        <v>74201.56</v>
      </c>
      <c r="T140" s="11">
        <f t="shared" si="41"/>
        <v>73951.56</v>
      </c>
      <c r="U140" s="11">
        <f t="shared" si="41"/>
        <v>73951.56</v>
      </c>
      <c r="V140" s="11">
        <f t="shared" si="41"/>
        <v>73951.56</v>
      </c>
      <c r="W140" s="11">
        <f t="shared" si="41"/>
        <v>73984.899999999994</v>
      </c>
      <c r="X140" s="11">
        <f t="shared" si="41"/>
        <v>73984.899999999994</v>
      </c>
      <c r="Y140" s="11">
        <f t="shared" si="41"/>
        <v>73984.899999999994</v>
      </c>
      <c r="Z140" s="11">
        <f t="shared" si="41"/>
        <v>73984.899999999994</v>
      </c>
      <c r="AA140" s="11">
        <f t="shared" si="41"/>
        <v>73984.899999999994</v>
      </c>
      <c r="AB140" s="11">
        <f t="shared" si="41"/>
        <v>73984.899999999994</v>
      </c>
      <c r="AC140" s="11">
        <f t="shared" si="41"/>
        <v>73984.899999999994</v>
      </c>
      <c r="AD140" s="38">
        <f t="shared" si="41"/>
        <v>73984.899999999994</v>
      </c>
      <c r="AE140" s="11">
        <f>SUM(AE137:AE139)</f>
        <v>887935.44000000018</v>
      </c>
    </row>
    <row r="141" spans="1:31" x14ac:dyDescent="0.2">
      <c r="C141" s="12"/>
    </row>
    <row r="142" spans="1:31" ht="15.75" x14ac:dyDescent="0.25">
      <c r="A142" s="15"/>
      <c r="B142" s="22" t="s">
        <v>3</v>
      </c>
      <c r="C142" s="8" t="s">
        <v>51</v>
      </c>
    </row>
    <row r="143" spans="1:31" x14ac:dyDescent="0.2">
      <c r="C143" s="6" t="s">
        <v>5</v>
      </c>
    </row>
    <row r="144" spans="1:31" x14ac:dyDescent="0.2">
      <c r="C144" s="6" t="s">
        <v>6</v>
      </c>
    </row>
    <row r="145" spans="1:31" ht="13.5" thickBot="1" x14ac:dyDescent="0.25">
      <c r="C145" s="6" t="s">
        <v>7</v>
      </c>
    </row>
    <row r="146" spans="1:31" ht="13.5" thickBot="1" x14ac:dyDescent="0.25">
      <c r="C146" s="10" t="s">
        <v>18</v>
      </c>
    </row>
    <row r="147" spans="1:31" x14ac:dyDescent="0.2">
      <c r="C147" s="12"/>
    </row>
    <row r="148" spans="1:31" ht="15.75" x14ac:dyDescent="0.25">
      <c r="A148" s="15">
        <f>+A136+1</f>
        <v>20</v>
      </c>
      <c r="C148" s="19" t="s">
        <v>52</v>
      </c>
    </row>
    <row r="149" spans="1:31" x14ac:dyDescent="0.2">
      <c r="C149" s="6" t="s">
        <v>5</v>
      </c>
      <c r="S149" s="20">
        <v>971.67</v>
      </c>
      <c r="T149" s="20">
        <v>971.67</v>
      </c>
      <c r="U149" s="20">
        <v>971.67</v>
      </c>
      <c r="V149" s="20">
        <v>971.67</v>
      </c>
      <c r="W149" s="20">
        <v>971.67</v>
      </c>
      <c r="X149" s="20">
        <v>971.67</v>
      </c>
      <c r="Y149" s="20">
        <v>934.17</v>
      </c>
      <c r="Z149" s="20">
        <v>934.17</v>
      </c>
      <c r="AA149" s="20">
        <v>934.17</v>
      </c>
      <c r="AB149" s="20">
        <v>934.17</v>
      </c>
      <c r="AC149" s="20">
        <v>934.17</v>
      </c>
      <c r="AD149" s="37">
        <v>934.17</v>
      </c>
      <c r="AE149" s="9">
        <f>SUM(S149:AD149)</f>
        <v>11435.039999999999</v>
      </c>
    </row>
    <row r="150" spans="1:31" x14ac:dyDescent="0.2">
      <c r="C150" s="6" t="s">
        <v>6</v>
      </c>
      <c r="S150" s="20">
        <v>250</v>
      </c>
      <c r="AE150" s="9">
        <f>SUM(S150:AD150)</f>
        <v>250</v>
      </c>
    </row>
    <row r="151" spans="1:31" ht="13.5" thickBot="1" x14ac:dyDescent="0.25">
      <c r="C151" s="6" t="s">
        <v>7</v>
      </c>
      <c r="S151" s="20">
        <f t="shared" ref="S151:T151" si="42">37500+39911.46</f>
        <v>77411.459999999992</v>
      </c>
      <c r="T151" s="20">
        <f t="shared" si="42"/>
        <v>77411.459999999992</v>
      </c>
      <c r="U151" s="20">
        <f>37500+39911.45</f>
        <v>77411.45</v>
      </c>
      <c r="V151" s="20">
        <f>39166.67+38411.46</f>
        <v>77578.13</v>
      </c>
      <c r="W151" s="20">
        <f t="shared" ref="W151:AD151" si="43">39166.67+38411.46</f>
        <v>77578.13</v>
      </c>
      <c r="X151" s="20">
        <f t="shared" si="43"/>
        <v>77578.13</v>
      </c>
      <c r="Y151" s="20">
        <f t="shared" si="43"/>
        <v>77578.13</v>
      </c>
      <c r="Z151" s="20">
        <f t="shared" si="43"/>
        <v>77578.13</v>
      </c>
      <c r="AA151" s="20">
        <f>39166.67+38411.45</f>
        <v>77578.12</v>
      </c>
      <c r="AB151" s="20">
        <f t="shared" si="43"/>
        <v>77578.13</v>
      </c>
      <c r="AC151" s="20">
        <f t="shared" si="43"/>
        <v>77578.13</v>
      </c>
      <c r="AD151" s="37">
        <f t="shared" si="43"/>
        <v>77578.13</v>
      </c>
      <c r="AE151" s="9">
        <f>SUM(S151:AD151)</f>
        <v>930437.53</v>
      </c>
    </row>
    <row r="152" spans="1:31" ht="13.5" thickBot="1" x14ac:dyDescent="0.25">
      <c r="C152" s="10" t="s">
        <v>53</v>
      </c>
      <c r="S152" s="11">
        <f t="shared" ref="S152:AD152" si="44">SUM(S149:S151)</f>
        <v>78633.12999999999</v>
      </c>
      <c r="T152" s="11">
        <f t="shared" si="44"/>
        <v>78383.12999999999</v>
      </c>
      <c r="U152" s="11">
        <f t="shared" si="44"/>
        <v>78383.12</v>
      </c>
      <c r="V152" s="11">
        <f t="shared" si="44"/>
        <v>78549.8</v>
      </c>
      <c r="W152" s="11">
        <f t="shared" si="44"/>
        <v>78549.8</v>
      </c>
      <c r="X152" s="11">
        <f t="shared" si="44"/>
        <v>78549.8</v>
      </c>
      <c r="Y152" s="11">
        <f t="shared" si="44"/>
        <v>78512.3</v>
      </c>
      <c r="Z152" s="11">
        <f t="shared" si="44"/>
        <v>78512.3</v>
      </c>
      <c r="AA152" s="11">
        <f t="shared" si="44"/>
        <v>78512.289999999994</v>
      </c>
      <c r="AB152" s="11">
        <f t="shared" si="44"/>
        <v>78512.3</v>
      </c>
      <c r="AC152" s="11">
        <f t="shared" si="44"/>
        <v>78512.3</v>
      </c>
      <c r="AD152" s="38">
        <f t="shared" si="44"/>
        <v>78512.3</v>
      </c>
      <c r="AE152" s="11">
        <f>SUM(AE149:AE151)</f>
        <v>942122.57000000007</v>
      </c>
    </row>
    <row r="153" spans="1:31" x14ac:dyDescent="0.2">
      <c r="C153" s="12"/>
    </row>
    <row r="154" spans="1:31" ht="15.75" x14ac:dyDescent="0.25">
      <c r="A154" s="15">
        <f>+A148+1</f>
        <v>21</v>
      </c>
      <c r="C154" s="19" t="s">
        <v>54</v>
      </c>
    </row>
    <row r="155" spans="1:31" x14ac:dyDescent="0.2">
      <c r="C155" s="6" t="s">
        <v>5</v>
      </c>
      <c r="S155" s="20">
        <v>915.83</v>
      </c>
      <c r="T155" s="20">
        <v>915.83</v>
      </c>
      <c r="U155" s="20">
        <v>915.83</v>
      </c>
      <c r="V155" s="20">
        <v>915.83</v>
      </c>
      <c r="W155" s="20">
        <v>915.83</v>
      </c>
      <c r="X155" s="20">
        <v>915.83</v>
      </c>
      <c r="Y155" s="20">
        <v>915.83</v>
      </c>
      <c r="Z155" s="20">
        <v>879.58</v>
      </c>
      <c r="AA155" s="20">
        <v>879.58</v>
      </c>
      <c r="AB155" s="20">
        <v>879.58</v>
      </c>
      <c r="AC155" s="20">
        <v>879.58</v>
      </c>
      <c r="AD155" s="37">
        <v>879.58</v>
      </c>
      <c r="AE155" s="9">
        <f>SUM(S155:AD155)</f>
        <v>10808.710000000001</v>
      </c>
    </row>
    <row r="156" spans="1:31" x14ac:dyDescent="0.2">
      <c r="C156" s="6" t="s">
        <v>6</v>
      </c>
      <c r="S156" s="20">
        <v>250</v>
      </c>
      <c r="AE156" s="9">
        <f>SUM(S156:AD156)</f>
        <v>250</v>
      </c>
    </row>
    <row r="157" spans="1:31" ht="13.5" thickBot="1" x14ac:dyDescent="0.25">
      <c r="C157" s="6" t="s">
        <v>7</v>
      </c>
      <c r="S157" s="20">
        <f t="shared" ref="S157:V157" si="45">40416.67+48507.29</f>
        <v>88923.959999999992</v>
      </c>
      <c r="T157" s="20">
        <f t="shared" si="45"/>
        <v>88923.959999999992</v>
      </c>
      <c r="U157" s="20">
        <f t="shared" si="45"/>
        <v>88923.959999999992</v>
      </c>
      <c r="V157" s="20">
        <f t="shared" si="45"/>
        <v>88923.959999999992</v>
      </c>
      <c r="W157" s="20">
        <f>40416.63+48507.3</f>
        <v>88923.93</v>
      </c>
      <c r="X157" s="20">
        <f>42083.33+46921.88</f>
        <v>89005.209999999992</v>
      </c>
      <c r="Y157" s="20">
        <f t="shared" ref="Y157:AD157" si="46">42083.33+46921.88</f>
        <v>89005.209999999992</v>
      </c>
      <c r="Z157" s="20">
        <f t="shared" si="46"/>
        <v>89005.209999999992</v>
      </c>
      <c r="AA157" s="20">
        <f t="shared" si="46"/>
        <v>89005.209999999992</v>
      </c>
      <c r="AB157" s="20">
        <f t="shared" si="46"/>
        <v>89005.209999999992</v>
      </c>
      <c r="AC157" s="20">
        <f>42083.33+46921.85</f>
        <v>89005.18</v>
      </c>
      <c r="AD157" s="37">
        <f t="shared" si="46"/>
        <v>89005.209999999992</v>
      </c>
      <c r="AE157" s="9">
        <f>SUM(S157:AD157)</f>
        <v>1067656.2099999997</v>
      </c>
    </row>
    <row r="158" spans="1:31" ht="13.5" thickBot="1" x14ac:dyDescent="0.25">
      <c r="C158" s="10" t="s">
        <v>46</v>
      </c>
      <c r="S158" s="11">
        <f t="shared" ref="S158:AD158" si="47">SUM(S155:S157)</f>
        <v>90089.79</v>
      </c>
      <c r="T158" s="11">
        <f t="shared" si="47"/>
        <v>89839.79</v>
      </c>
      <c r="U158" s="11">
        <f t="shared" si="47"/>
        <v>89839.79</v>
      </c>
      <c r="V158" s="11">
        <f t="shared" si="47"/>
        <v>89839.79</v>
      </c>
      <c r="W158" s="11">
        <f t="shared" si="47"/>
        <v>89839.76</v>
      </c>
      <c r="X158" s="11">
        <f t="shared" si="47"/>
        <v>89921.04</v>
      </c>
      <c r="Y158" s="11">
        <f t="shared" si="47"/>
        <v>89921.04</v>
      </c>
      <c r="Z158" s="11">
        <f t="shared" si="47"/>
        <v>89884.79</v>
      </c>
      <c r="AA158" s="11">
        <f t="shared" si="47"/>
        <v>89884.79</v>
      </c>
      <c r="AB158" s="11">
        <f t="shared" si="47"/>
        <v>89884.79</v>
      </c>
      <c r="AC158" s="11">
        <f t="shared" si="47"/>
        <v>89884.76</v>
      </c>
      <c r="AD158" s="38">
        <f t="shared" si="47"/>
        <v>89884.79</v>
      </c>
      <c r="AE158" s="11">
        <f>SUM(AE155:AE157)</f>
        <v>1078714.9199999997</v>
      </c>
    </row>
    <row r="159" spans="1:31" x14ac:dyDescent="0.2">
      <c r="C159" s="12"/>
    </row>
    <row r="160" spans="1:31" ht="15.75" x14ac:dyDescent="0.25">
      <c r="A160" s="15">
        <f>+A154+1</f>
        <v>22</v>
      </c>
      <c r="C160" s="19" t="s">
        <v>55</v>
      </c>
    </row>
    <row r="161" spans="1:31" x14ac:dyDescent="0.2">
      <c r="C161" s="6" t="s">
        <v>5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25">
        <v>0</v>
      </c>
      <c r="AE161" s="9">
        <f>SUM(S161:AD161)</f>
        <v>0</v>
      </c>
    </row>
    <row r="162" spans="1:31" x14ac:dyDescent="0.2">
      <c r="C162" s="6" t="s">
        <v>6</v>
      </c>
      <c r="S162" s="20">
        <v>250</v>
      </c>
      <c r="AE162" s="9">
        <f>SUM(S162:AD162)</f>
        <v>250</v>
      </c>
    </row>
    <row r="163" spans="1:31" ht="13.5" thickBot="1" x14ac:dyDescent="0.25">
      <c r="C163" s="6" t="s">
        <v>7</v>
      </c>
      <c r="S163" s="20">
        <f t="shared" ref="S163:V163" si="48">51250+107333.33</f>
        <v>158583.33000000002</v>
      </c>
      <c r="T163" s="20">
        <f t="shared" si="48"/>
        <v>158583.33000000002</v>
      </c>
      <c r="U163" s="20">
        <f t="shared" si="48"/>
        <v>158583.33000000002</v>
      </c>
      <c r="V163" s="20">
        <f t="shared" si="48"/>
        <v>158583.33000000002</v>
      </c>
      <c r="W163" s="20">
        <f>51250+107333.35</f>
        <v>158583.35</v>
      </c>
      <c r="X163" s="20">
        <f>52916.67+105283.33</f>
        <v>158200</v>
      </c>
      <c r="Y163" s="20">
        <f t="shared" ref="Y163:AD163" si="49">52916.67+105283.33</f>
        <v>158200</v>
      </c>
      <c r="Z163" s="20">
        <f t="shared" si="49"/>
        <v>158200</v>
      </c>
      <c r="AA163" s="20">
        <f t="shared" si="49"/>
        <v>158200</v>
      </c>
      <c r="AB163" s="20">
        <f t="shared" si="49"/>
        <v>158200</v>
      </c>
      <c r="AC163" s="20">
        <f>52916.67+105283.35</f>
        <v>158200.02000000002</v>
      </c>
      <c r="AD163" s="37">
        <f t="shared" si="49"/>
        <v>158200</v>
      </c>
      <c r="AE163" s="9">
        <f>SUM(S163:AD163)</f>
        <v>1900316.69</v>
      </c>
    </row>
    <row r="164" spans="1:31" ht="13.5" thickBot="1" x14ac:dyDescent="0.25">
      <c r="C164" s="10" t="s">
        <v>56</v>
      </c>
      <c r="S164" s="11">
        <f t="shared" ref="S164:AD164" si="50">SUM(S161:S163)</f>
        <v>158833.33000000002</v>
      </c>
      <c r="T164" s="11">
        <f t="shared" si="50"/>
        <v>158583.33000000002</v>
      </c>
      <c r="U164" s="11">
        <f t="shared" si="50"/>
        <v>158583.33000000002</v>
      </c>
      <c r="V164" s="11">
        <f t="shared" si="50"/>
        <v>158583.33000000002</v>
      </c>
      <c r="W164" s="11">
        <f t="shared" si="50"/>
        <v>158583.35</v>
      </c>
      <c r="X164" s="11">
        <f t="shared" si="50"/>
        <v>158200</v>
      </c>
      <c r="Y164" s="11">
        <f t="shared" si="50"/>
        <v>158200</v>
      </c>
      <c r="Z164" s="11">
        <f t="shared" si="50"/>
        <v>158200</v>
      </c>
      <c r="AA164" s="11">
        <f t="shared" si="50"/>
        <v>158200</v>
      </c>
      <c r="AB164" s="11">
        <f t="shared" si="50"/>
        <v>158200</v>
      </c>
      <c r="AC164" s="11">
        <f t="shared" si="50"/>
        <v>158200.02000000002</v>
      </c>
      <c r="AD164" s="38">
        <f t="shared" si="50"/>
        <v>158200</v>
      </c>
      <c r="AE164" s="11">
        <f>SUM(AE161:AE163)</f>
        <v>1900566.69</v>
      </c>
    </row>
    <row r="165" spans="1:31" x14ac:dyDescent="0.2">
      <c r="C165" s="12"/>
    </row>
    <row r="166" spans="1:31" ht="15.75" x14ac:dyDescent="0.25">
      <c r="A166" s="15"/>
      <c r="B166" s="21" t="s">
        <v>3</v>
      </c>
      <c r="C166" s="8" t="s">
        <v>57</v>
      </c>
    </row>
    <row r="167" spans="1:31" x14ac:dyDescent="0.2">
      <c r="C167" s="6" t="s">
        <v>5</v>
      </c>
    </row>
    <row r="168" spans="1:31" x14ac:dyDescent="0.2">
      <c r="C168" s="6" t="s">
        <v>6</v>
      </c>
    </row>
    <row r="169" spans="1:31" ht="13.5" thickBot="1" x14ac:dyDescent="0.25">
      <c r="C169" s="6" t="s">
        <v>7</v>
      </c>
    </row>
    <row r="170" spans="1:31" ht="13.5" thickBot="1" x14ac:dyDescent="0.25">
      <c r="C170" s="10" t="s">
        <v>58</v>
      </c>
    </row>
    <row r="171" spans="1:31" x14ac:dyDescent="0.2">
      <c r="C171" s="12"/>
    </row>
    <row r="172" spans="1:31" ht="15.75" x14ac:dyDescent="0.25">
      <c r="A172" s="15">
        <f>+A160+1</f>
        <v>23</v>
      </c>
      <c r="C172" s="19" t="s">
        <v>59</v>
      </c>
    </row>
    <row r="173" spans="1:31" x14ac:dyDescent="0.2">
      <c r="C173" s="6" t="s">
        <v>5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25">
        <v>0</v>
      </c>
      <c r="AE173" s="9">
        <f>SUM(S173:AD173)</f>
        <v>0</v>
      </c>
    </row>
    <row r="174" spans="1:31" x14ac:dyDescent="0.2">
      <c r="C174" s="6" t="s">
        <v>6</v>
      </c>
      <c r="S174" s="20">
        <v>250</v>
      </c>
      <c r="AE174" s="9">
        <f>SUM(S174:AD174)</f>
        <v>250</v>
      </c>
    </row>
    <row r="175" spans="1:31" ht="13.5" thickBot="1" x14ac:dyDescent="0.25">
      <c r="C175" s="6" t="s">
        <v>7</v>
      </c>
      <c r="S175" s="20">
        <f t="shared" ref="S175:AC175" si="51">19166.67+42229.17</f>
        <v>61395.839999999997</v>
      </c>
      <c r="T175" s="20">
        <f t="shared" si="51"/>
        <v>61395.839999999997</v>
      </c>
      <c r="U175" s="20">
        <f t="shared" si="51"/>
        <v>61395.839999999997</v>
      </c>
      <c r="V175" s="20">
        <f t="shared" si="51"/>
        <v>61395.839999999997</v>
      </c>
      <c r="W175" s="20">
        <f t="shared" si="51"/>
        <v>61395.839999999997</v>
      </c>
      <c r="X175" s="20">
        <f t="shared" si="51"/>
        <v>61395.839999999997</v>
      </c>
      <c r="Y175" s="20">
        <f t="shared" si="51"/>
        <v>61395.839999999997</v>
      </c>
      <c r="Z175" s="20">
        <f t="shared" si="51"/>
        <v>61395.839999999997</v>
      </c>
      <c r="AA175" s="20">
        <f t="shared" si="51"/>
        <v>61395.839999999997</v>
      </c>
      <c r="AB175" s="20">
        <f t="shared" si="51"/>
        <v>61395.839999999997</v>
      </c>
      <c r="AC175" s="20">
        <f t="shared" si="51"/>
        <v>61395.839999999997</v>
      </c>
      <c r="AD175" s="37">
        <f>20000+41438.54</f>
        <v>61438.54</v>
      </c>
      <c r="AE175" s="9">
        <f>SUM(S175:AD175)</f>
        <v>736792.7799999998</v>
      </c>
    </row>
    <row r="176" spans="1:31" ht="13.5" thickBot="1" x14ac:dyDescent="0.25">
      <c r="C176" s="10" t="s">
        <v>60</v>
      </c>
      <c r="S176" s="11">
        <f t="shared" ref="S176:AD176" si="52">SUM(S173:S175)</f>
        <v>61645.84</v>
      </c>
      <c r="T176" s="11">
        <f t="shared" si="52"/>
        <v>61395.839999999997</v>
      </c>
      <c r="U176" s="11">
        <f t="shared" si="52"/>
        <v>61395.839999999997</v>
      </c>
      <c r="V176" s="11">
        <f t="shared" si="52"/>
        <v>61395.839999999997</v>
      </c>
      <c r="W176" s="11">
        <f t="shared" si="52"/>
        <v>61395.839999999997</v>
      </c>
      <c r="X176" s="11">
        <f t="shared" si="52"/>
        <v>61395.839999999997</v>
      </c>
      <c r="Y176" s="11">
        <f t="shared" si="52"/>
        <v>61395.839999999997</v>
      </c>
      <c r="Z176" s="11">
        <f t="shared" si="52"/>
        <v>61395.839999999997</v>
      </c>
      <c r="AA176" s="11">
        <f t="shared" si="52"/>
        <v>61395.839999999997</v>
      </c>
      <c r="AB176" s="11">
        <f t="shared" si="52"/>
        <v>61395.839999999997</v>
      </c>
      <c r="AC176" s="11">
        <f t="shared" si="52"/>
        <v>61395.839999999997</v>
      </c>
      <c r="AD176" s="38">
        <f t="shared" si="52"/>
        <v>61438.54</v>
      </c>
      <c r="AE176" s="11">
        <f>SUM(AE173:AE175)</f>
        <v>737042.7799999998</v>
      </c>
    </row>
    <row r="177" spans="1:31" x14ac:dyDescent="0.2">
      <c r="C177" s="12"/>
    </row>
    <row r="178" spans="1:31" ht="15.75" x14ac:dyDescent="0.25">
      <c r="A178" s="15">
        <f>+A172+1</f>
        <v>24</v>
      </c>
      <c r="C178" s="19" t="s">
        <v>61</v>
      </c>
    </row>
    <row r="179" spans="1:31" x14ac:dyDescent="0.2">
      <c r="C179" s="6" t="s">
        <v>5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25">
        <v>0</v>
      </c>
      <c r="AE179" s="9">
        <f>SUM(S179:AD179)</f>
        <v>0</v>
      </c>
    </row>
    <row r="180" spans="1:31" x14ac:dyDescent="0.2">
      <c r="C180" s="6" t="s">
        <v>6</v>
      </c>
      <c r="S180" s="20">
        <v>250</v>
      </c>
      <c r="AE180" s="9">
        <f>SUM(S180:AD180)</f>
        <v>250</v>
      </c>
    </row>
    <row r="181" spans="1:31" ht="13.5" thickBot="1" x14ac:dyDescent="0.25">
      <c r="C181" s="6" t="s">
        <v>7</v>
      </c>
      <c r="S181" s="20">
        <f t="shared" ref="S181" si="53">50888.33+45164.1</f>
        <v>96052.43</v>
      </c>
      <c r="T181" s="20">
        <f>52618.33+43433.9</f>
        <v>96052.23000000001</v>
      </c>
      <c r="U181" s="20">
        <f t="shared" ref="U181:AD181" si="54">52618.33+43433.9</f>
        <v>96052.23000000001</v>
      </c>
      <c r="V181" s="20">
        <f t="shared" si="54"/>
        <v>96052.23000000001</v>
      </c>
      <c r="W181" s="20">
        <f t="shared" si="54"/>
        <v>96052.23000000001</v>
      </c>
      <c r="X181" s="20">
        <f t="shared" si="54"/>
        <v>96052.23000000001</v>
      </c>
      <c r="Y181" s="20">
        <f t="shared" si="54"/>
        <v>96052.23000000001</v>
      </c>
      <c r="Z181" s="20">
        <f t="shared" si="54"/>
        <v>96052.23000000001</v>
      </c>
      <c r="AA181" s="20">
        <f t="shared" si="54"/>
        <v>96052.23000000001</v>
      </c>
      <c r="AB181" s="20">
        <f t="shared" si="54"/>
        <v>96052.23000000001</v>
      </c>
      <c r="AC181" s="20">
        <f t="shared" si="54"/>
        <v>96052.23000000001</v>
      </c>
      <c r="AD181" s="37">
        <f t="shared" si="54"/>
        <v>96052.23000000001</v>
      </c>
      <c r="AE181" s="9">
        <f>SUM(S181:AD181)</f>
        <v>1152626.96</v>
      </c>
    </row>
    <row r="182" spans="1:31" ht="13.5" thickBot="1" x14ac:dyDescent="0.25">
      <c r="C182" s="10" t="s">
        <v>62</v>
      </c>
      <c r="S182" s="11">
        <f t="shared" ref="S182:AD182" si="55">SUM(S179:S181)</f>
        <v>96302.43</v>
      </c>
      <c r="T182" s="11">
        <f t="shared" si="55"/>
        <v>96052.23000000001</v>
      </c>
      <c r="U182" s="11">
        <f t="shared" si="55"/>
        <v>96052.23000000001</v>
      </c>
      <c r="V182" s="11">
        <f t="shared" si="55"/>
        <v>96052.23000000001</v>
      </c>
      <c r="W182" s="11">
        <f t="shared" si="55"/>
        <v>96052.23000000001</v>
      </c>
      <c r="X182" s="11">
        <f t="shared" si="55"/>
        <v>96052.23000000001</v>
      </c>
      <c r="Y182" s="11">
        <f t="shared" si="55"/>
        <v>96052.23000000001</v>
      </c>
      <c r="Z182" s="11">
        <f t="shared" si="55"/>
        <v>96052.23000000001</v>
      </c>
      <c r="AA182" s="11">
        <f t="shared" si="55"/>
        <v>96052.23000000001</v>
      </c>
      <c r="AB182" s="11">
        <f t="shared" si="55"/>
        <v>96052.23000000001</v>
      </c>
      <c r="AC182" s="11">
        <f t="shared" si="55"/>
        <v>96052.23000000001</v>
      </c>
      <c r="AD182" s="38">
        <f t="shared" si="55"/>
        <v>96052.23000000001</v>
      </c>
      <c r="AE182" s="11">
        <f>SUM(AE179:AE181)</f>
        <v>1152876.96</v>
      </c>
    </row>
    <row r="183" spans="1:31" x14ac:dyDescent="0.2">
      <c r="C183" s="12"/>
    </row>
    <row r="184" spans="1:31" ht="15.75" x14ac:dyDescent="0.25">
      <c r="A184" s="1">
        <f>A178+1</f>
        <v>25</v>
      </c>
      <c r="B184" s="18"/>
      <c r="C184" s="19" t="s">
        <v>34</v>
      </c>
    </row>
    <row r="185" spans="1:31" x14ac:dyDescent="0.2">
      <c r="C185" s="6" t="s">
        <v>5</v>
      </c>
      <c r="S185" s="20">
        <v>226.25</v>
      </c>
      <c r="T185" s="20">
        <v>226.25</v>
      </c>
      <c r="U185" s="20">
        <v>226.25</v>
      </c>
      <c r="V185" s="20">
        <v>226.25</v>
      </c>
      <c r="W185" s="20">
        <v>226.25</v>
      </c>
      <c r="X185" s="20">
        <v>220</v>
      </c>
      <c r="Y185" s="20">
        <v>220</v>
      </c>
      <c r="Z185" s="20">
        <v>220</v>
      </c>
      <c r="AA185" s="20">
        <v>220</v>
      </c>
      <c r="AB185" s="20">
        <v>220</v>
      </c>
      <c r="AC185" s="20">
        <v>220</v>
      </c>
      <c r="AD185" s="37">
        <v>220</v>
      </c>
      <c r="AE185" s="9">
        <f>SUM(S185:AD185)</f>
        <v>2671.25</v>
      </c>
    </row>
    <row r="186" spans="1:31" x14ac:dyDescent="0.2">
      <c r="C186" s="6" t="s">
        <v>6</v>
      </c>
      <c r="S186" s="20">
        <v>250</v>
      </c>
      <c r="AE186" s="9">
        <f>SUM(S186:AD186)</f>
        <v>250</v>
      </c>
    </row>
    <row r="187" spans="1:31" ht="13.5" thickBot="1" x14ac:dyDescent="0.25">
      <c r="C187" s="6" t="s">
        <v>7</v>
      </c>
      <c r="S187" s="20">
        <f>6250+8402.61</f>
        <v>14652.61</v>
      </c>
      <c r="T187" s="20">
        <f>6250+8402.61</f>
        <v>14652.61</v>
      </c>
      <c r="U187" s="20">
        <f>6250+8402.61</f>
        <v>14652.61</v>
      </c>
      <c r="V187" s="20">
        <f>6250+8402.61</f>
        <v>14652.61</v>
      </c>
      <c r="W187" s="20">
        <f>6250+8402.61</f>
        <v>14652.61</v>
      </c>
      <c r="X187" s="20">
        <f>6250+8402.58</f>
        <v>14652.58</v>
      </c>
      <c r="Y187" s="20">
        <f>6250+8215.11</f>
        <v>14465.11</v>
      </c>
      <c r="Z187" s="20">
        <f>6250+8215.11</f>
        <v>14465.11</v>
      </c>
      <c r="AA187" s="20">
        <f>6250+8215.11</f>
        <v>14465.11</v>
      </c>
      <c r="AB187" s="20">
        <f>6250+8215.11</f>
        <v>14465.11</v>
      </c>
      <c r="AC187" s="20">
        <f>6250+8215.11</f>
        <v>14465.11</v>
      </c>
      <c r="AD187" s="37">
        <f>6250+8215.08</f>
        <v>14465.08</v>
      </c>
      <c r="AE187" s="9">
        <f>SUM(S187:AD187)</f>
        <v>174706.25999999998</v>
      </c>
    </row>
    <row r="188" spans="1:31" ht="13.5" thickBot="1" x14ac:dyDescent="0.25">
      <c r="C188" s="10" t="s">
        <v>35</v>
      </c>
      <c r="S188" s="11">
        <f t="shared" ref="S188:AD188" si="56">SUM(S185:S187)</f>
        <v>15128.86</v>
      </c>
      <c r="T188" s="11">
        <f t="shared" si="56"/>
        <v>14878.86</v>
      </c>
      <c r="U188" s="11">
        <f t="shared" si="56"/>
        <v>14878.86</v>
      </c>
      <c r="V188" s="11">
        <f t="shared" si="56"/>
        <v>14878.86</v>
      </c>
      <c r="W188" s="11">
        <f t="shared" si="56"/>
        <v>14878.86</v>
      </c>
      <c r="X188" s="11">
        <f t="shared" si="56"/>
        <v>14872.58</v>
      </c>
      <c r="Y188" s="11">
        <f t="shared" si="56"/>
        <v>14685.11</v>
      </c>
      <c r="Z188" s="11">
        <f t="shared" si="56"/>
        <v>14685.11</v>
      </c>
      <c r="AA188" s="11">
        <f t="shared" si="56"/>
        <v>14685.11</v>
      </c>
      <c r="AB188" s="11">
        <f t="shared" si="56"/>
        <v>14685.11</v>
      </c>
      <c r="AC188" s="11">
        <f t="shared" si="56"/>
        <v>14685.11</v>
      </c>
      <c r="AD188" s="38">
        <f t="shared" si="56"/>
        <v>14685.08</v>
      </c>
      <c r="AE188" s="11">
        <f>SUM(AE185:AE187)</f>
        <v>177627.50999999998</v>
      </c>
    </row>
    <row r="189" spans="1:31" x14ac:dyDescent="0.2">
      <c r="C189" s="12"/>
    </row>
    <row r="190" spans="1:31" ht="15.75" x14ac:dyDescent="0.25">
      <c r="A190" s="1">
        <f>A184+1</f>
        <v>26</v>
      </c>
      <c r="B190" s="18"/>
      <c r="C190" s="19" t="s">
        <v>63</v>
      </c>
    </row>
    <row r="191" spans="1:31" x14ac:dyDescent="0.2">
      <c r="C191" s="6" t="s">
        <v>5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25">
        <v>0</v>
      </c>
      <c r="AE191" s="9">
        <f>SUM(S191:AD191)</f>
        <v>0</v>
      </c>
    </row>
    <row r="192" spans="1:31" x14ac:dyDescent="0.2">
      <c r="C192" s="6" t="s">
        <v>6</v>
      </c>
      <c r="S192" s="20">
        <v>250</v>
      </c>
      <c r="AE192" s="9">
        <f>SUM(S192:AD192)</f>
        <v>250</v>
      </c>
    </row>
    <row r="193" spans="1:31" ht="13.5" thickBot="1" x14ac:dyDescent="0.25">
      <c r="C193" s="6" t="s">
        <v>7</v>
      </c>
      <c r="S193" s="9">
        <v>32953.129999999997</v>
      </c>
      <c r="T193" s="9">
        <v>32953.129999999997</v>
      </c>
      <c r="U193" s="9">
        <v>32953.129999999997</v>
      </c>
      <c r="V193" s="9">
        <v>32953.129999999997</v>
      </c>
      <c r="W193" s="9">
        <v>32953.129999999997</v>
      </c>
      <c r="X193" s="9">
        <v>32953.129999999997</v>
      </c>
      <c r="Y193" s="9">
        <v>32953.129999999997</v>
      </c>
      <c r="Z193" s="9">
        <v>32953.129999999997</v>
      </c>
      <c r="AA193" s="9">
        <v>32953.129999999997</v>
      </c>
      <c r="AB193" s="9">
        <v>32953.129999999997</v>
      </c>
      <c r="AC193" s="9">
        <f>12500+32953.13</f>
        <v>45453.13</v>
      </c>
      <c r="AD193" s="25">
        <f>12500+32953.13</f>
        <v>45453.13</v>
      </c>
      <c r="AE193" s="9">
        <f>SUM(S193:AD193)</f>
        <v>420437.56</v>
      </c>
    </row>
    <row r="194" spans="1:31" ht="13.5" thickBot="1" x14ac:dyDescent="0.25">
      <c r="C194" s="10" t="s">
        <v>64</v>
      </c>
      <c r="S194" s="11">
        <f t="shared" ref="S194:AD194" si="57">SUM(S191:S193)</f>
        <v>33203.129999999997</v>
      </c>
      <c r="T194" s="11">
        <f t="shared" si="57"/>
        <v>32953.129999999997</v>
      </c>
      <c r="U194" s="11">
        <f t="shared" si="57"/>
        <v>32953.129999999997</v>
      </c>
      <c r="V194" s="11">
        <f t="shared" si="57"/>
        <v>32953.129999999997</v>
      </c>
      <c r="W194" s="11">
        <f t="shared" si="57"/>
        <v>32953.129999999997</v>
      </c>
      <c r="X194" s="11">
        <f t="shared" si="57"/>
        <v>32953.129999999997</v>
      </c>
      <c r="Y194" s="11">
        <f t="shared" si="57"/>
        <v>32953.129999999997</v>
      </c>
      <c r="Z194" s="11">
        <f t="shared" si="57"/>
        <v>32953.129999999997</v>
      </c>
      <c r="AA194" s="11">
        <f t="shared" si="57"/>
        <v>32953.129999999997</v>
      </c>
      <c r="AB194" s="11">
        <f t="shared" si="57"/>
        <v>32953.129999999997</v>
      </c>
      <c r="AC194" s="11">
        <f t="shared" si="57"/>
        <v>45453.13</v>
      </c>
      <c r="AD194" s="38">
        <f t="shared" si="57"/>
        <v>45453.13</v>
      </c>
      <c r="AE194" s="11">
        <f>SUM(AE191:AE193)</f>
        <v>420687.56</v>
      </c>
    </row>
    <row r="195" spans="1:31" x14ac:dyDescent="0.2">
      <c r="C195" s="12"/>
    </row>
    <row r="196" spans="1:31" ht="15.75" x14ac:dyDescent="0.25">
      <c r="A196" s="1">
        <f>A190+1</f>
        <v>27</v>
      </c>
      <c r="B196" s="18"/>
      <c r="C196" s="19" t="s">
        <v>65</v>
      </c>
    </row>
    <row r="197" spans="1:31" x14ac:dyDescent="0.2">
      <c r="C197" s="6" t="s">
        <v>5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25">
        <v>0</v>
      </c>
      <c r="AE197" s="9">
        <f>SUM(S197:AD197)</f>
        <v>0</v>
      </c>
    </row>
    <row r="198" spans="1:31" x14ac:dyDescent="0.2">
      <c r="C198" s="6" t="s">
        <v>6</v>
      </c>
      <c r="S198" s="20">
        <v>250</v>
      </c>
      <c r="AE198" s="9">
        <f>SUM(S198:AD198)</f>
        <v>250</v>
      </c>
    </row>
    <row r="199" spans="1:31" ht="13.5" thickBot="1" x14ac:dyDescent="0.25">
      <c r="C199" s="6" t="s">
        <v>7</v>
      </c>
      <c r="S199" s="20">
        <f t="shared" ref="S199:AB199" si="58">2083.33+6275</f>
        <v>8358.33</v>
      </c>
      <c r="T199" s="20">
        <f t="shared" si="58"/>
        <v>8358.33</v>
      </c>
      <c r="U199" s="20">
        <f t="shared" si="58"/>
        <v>8358.33</v>
      </c>
      <c r="V199" s="20">
        <f t="shared" si="58"/>
        <v>8358.33</v>
      </c>
      <c r="W199" s="20">
        <f t="shared" si="58"/>
        <v>8358.33</v>
      </c>
      <c r="X199" s="20">
        <f t="shared" si="58"/>
        <v>8358.33</v>
      </c>
      <c r="Y199" s="20">
        <f t="shared" si="58"/>
        <v>8358.33</v>
      </c>
      <c r="Z199" s="20">
        <f t="shared" si="58"/>
        <v>8358.33</v>
      </c>
      <c r="AA199" s="20">
        <f t="shared" si="58"/>
        <v>8358.33</v>
      </c>
      <c r="AB199" s="20">
        <f t="shared" si="58"/>
        <v>8358.33</v>
      </c>
      <c r="AC199" s="20">
        <f>2083.37+6275</f>
        <v>8358.369999999999</v>
      </c>
      <c r="AD199" s="37">
        <f>2083.33+6165.63</f>
        <v>8248.9599999999991</v>
      </c>
      <c r="AE199" s="9">
        <f>SUM(S199:AD199)</f>
        <v>100190.63</v>
      </c>
    </row>
    <row r="200" spans="1:31" ht="13.5" thickBot="1" x14ac:dyDescent="0.25">
      <c r="C200" s="10" t="s">
        <v>66</v>
      </c>
      <c r="S200" s="11">
        <f t="shared" ref="S200:AD200" si="59">SUM(S197:S199)</f>
        <v>8608.33</v>
      </c>
      <c r="T200" s="11">
        <f t="shared" si="59"/>
        <v>8358.33</v>
      </c>
      <c r="U200" s="11">
        <f t="shared" si="59"/>
        <v>8358.33</v>
      </c>
      <c r="V200" s="11">
        <f t="shared" si="59"/>
        <v>8358.33</v>
      </c>
      <c r="W200" s="11">
        <f t="shared" si="59"/>
        <v>8358.33</v>
      </c>
      <c r="X200" s="11">
        <f t="shared" si="59"/>
        <v>8358.33</v>
      </c>
      <c r="Y200" s="11">
        <f t="shared" si="59"/>
        <v>8358.33</v>
      </c>
      <c r="Z200" s="11">
        <f t="shared" si="59"/>
        <v>8358.33</v>
      </c>
      <c r="AA200" s="11">
        <f t="shared" si="59"/>
        <v>8358.33</v>
      </c>
      <c r="AB200" s="11">
        <f t="shared" si="59"/>
        <v>8358.33</v>
      </c>
      <c r="AC200" s="11">
        <f t="shared" si="59"/>
        <v>8358.369999999999</v>
      </c>
      <c r="AD200" s="38">
        <f t="shared" si="59"/>
        <v>8248.9599999999991</v>
      </c>
      <c r="AE200" s="11">
        <f>SUM(AE197:AE199)</f>
        <v>100440.63</v>
      </c>
    </row>
    <row r="201" spans="1:31" x14ac:dyDescent="0.2">
      <c r="C201" s="12"/>
    </row>
    <row r="202" spans="1:31" ht="15.75" x14ac:dyDescent="0.25">
      <c r="A202" s="1">
        <f>A196+1</f>
        <v>28</v>
      </c>
      <c r="B202" s="18"/>
      <c r="C202" s="19" t="s">
        <v>67</v>
      </c>
    </row>
    <row r="203" spans="1:31" x14ac:dyDescent="0.2">
      <c r="C203" s="6" t="s">
        <v>5</v>
      </c>
      <c r="S203" s="20">
        <v>1452.08</v>
      </c>
      <c r="T203" s="20">
        <v>1452.08</v>
      </c>
      <c r="U203" s="20">
        <v>1452.08</v>
      </c>
      <c r="V203" s="20">
        <v>1452.08</v>
      </c>
      <c r="W203" s="20">
        <v>1452.08</v>
      </c>
      <c r="X203" s="20">
        <v>1452.08</v>
      </c>
      <c r="Y203" s="20">
        <v>1452.08</v>
      </c>
      <c r="Z203" s="20">
        <v>1452.08</v>
      </c>
      <c r="AA203" s="20">
        <v>1420</v>
      </c>
      <c r="AB203" s="20">
        <v>1420</v>
      </c>
      <c r="AC203" s="20">
        <v>1420</v>
      </c>
      <c r="AD203" s="37">
        <v>1420</v>
      </c>
      <c r="AE203" s="9">
        <f>SUM(S203:AD203)</f>
        <v>17296.64</v>
      </c>
    </row>
    <row r="204" spans="1:31" x14ac:dyDescent="0.2">
      <c r="C204" s="6" t="s">
        <v>6</v>
      </c>
      <c r="S204" s="20">
        <v>250</v>
      </c>
      <c r="AE204" s="9">
        <f>SUM(S204:AD204)</f>
        <v>250</v>
      </c>
    </row>
    <row r="205" spans="1:31" ht="13.5" thickBot="1" x14ac:dyDescent="0.25">
      <c r="C205" s="6" t="s">
        <v>7</v>
      </c>
      <c r="S205" s="20">
        <f>33333.33+62541.67</f>
        <v>95875</v>
      </c>
      <c r="T205" s="20">
        <f t="shared" ref="T205:AC205" si="60">33333.33+62541.67</f>
        <v>95875</v>
      </c>
      <c r="U205" s="20">
        <f t="shared" si="60"/>
        <v>95875</v>
      </c>
      <c r="V205" s="20">
        <f t="shared" si="60"/>
        <v>95875</v>
      </c>
      <c r="W205" s="20">
        <f t="shared" si="60"/>
        <v>95875</v>
      </c>
      <c r="X205" s="20">
        <f>33333.33+62541.65</f>
        <v>95874.98000000001</v>
      </c>
      <c r="Y205" s="20">
        <f t="shared" si="60"/>
        <v>95875</v>
      </c>
      <c r="Z205" s="20">
        <f t="shared" si="60"/>
        <v>95875</v>
      </c>
      <c r="AA205" s="20">
        <f t="shared" si="60"/>
        <v>95875</v>
      </c>
      <c r="AB205" s="20">
        <f t="shared" si="60"/>
        <v>95875</v>
      </c>
      <c r="AC205" s="20">
        <f t="shared" si="60"/>
        <v>95875</v>
      </c>
      <c r="AD205" s="37">
        <f>33333.37+62541.65</f>
        <v>95875.02</v>
      </c>
      <c r="AE205" s="9">
        <f>SUM(S205:AD205)</f>
        <v>1150500</v>
      </c>
    </row>
    <row r="206" spans="1:31" ht="13.5" thickBot="1" x14ac:dyDescent="0.25">
      <c r="C206" s="10" t="s">
        <v>68</v>
      </c>
      <c r="S206" s="11">
        <f t="shared" ref="S206:AD206" si="61">SUM(S203:S205)</f>
        <v>97577.08</v>
      </c>
      <c r="T206" s="11">
        <f t="shared" si="61"/>
        <v>97327.08</v>
      </c>
      <c r="U206" s="11">
        <f t="shared" si="61"/>
        <v>97327.08</v>
      </c>
      <c r="V206" s="11">
        <f t="shared" si="61"/>
        <v>97327.08</v>
      </c>
      <c r="W206" s="11">
        <f t="shared" si="61"/>
        <v>97327.08</v>
      </c>
      <c r="X206" s="11">
        <f t="shared" si="61"/>
        <v>97327.060000000012</v>
      </c>
      <c r="Y206" s="11">
        <f t="shared" si="61"/>
        <v>97327.08</v>
      </c>
      <c r="Z206" s="11">
        <f t="shared" si="61"/>
        <v>97327.08</v>
      </c>
      <c r="AA206" s="11">
        <f t="shared" si="61"/>
        <v>97295</v>
      </c>
      <c r="AB206" s="11">
        <f t="shared" si="61"/>
        <v>97295</v>
      </c>
      <c r="AC206" s="11">
        <f t="shared" si="61"/>
        <v>97295</v>
      </c>
      <c r="AD206" s="38">
        <f t="shared" si="61"/>
        <v>97295.02</v>
      </c>
      <c r="AE206" s="11">
        <f>SUM(AE203:AE205)</f>
        <v>1168046.6399999999</v>
      </c>
    </row>
    <row r="207" spans="1:31" x14ac:dyDescent="0.2">
      <c r="C207" s="12"/>
    </row>
    <row r="208" spans="1:31" ht="15.75" x14ac:dyDescent="0.25">
      <c r="B208" s="21" t="s">
        <v>3</v>
      </c>
      <c r="C208" s="8" t="s">
        <v>69</v>
      </c>
    </row>
    <row r="209" spans="1:31" x14ac:dyDescent="0.2">
      <c r="C209" s="6" t="s">
        <v>5</v>
      </c>
    </row>
    <row r="210" spans="1:31" x14ac:dyDescent="0.2">
      <c r="C210" s="6" t="s">
        <v>6</v>
      </c>
    </row>
    <row r="211" spans="1:31" ht="13.5" thickBot="1" x14ac:dyDescent="0.25">
      <c r="C211" s="6" t="s">
        <v>7</v>
      </c>
    </row>
    <row r="212" spans="1:31" ht="13.5" thickBot="1" x14ac:dyDescent="0.25">
      <c r="C212" s="10" t="s">
        <v>70</v>
      </c>
    </row>
    <row r="213" spans="1:31" x14ac:dyDescent="0.2">
      <c r="C213" s="12"/>
    </row>
    <row r="214" spans="1:31" ht="15.75" x14ac:dyDescent="0.25">
      <c r="A214" s="1">
        <f>A202+1</f>
        <v>29</v>
      </c>
      <c r="B214" s="18"/>
      <c r="C214" s="19" t="s">
        <v>71</v>
      </c>
    </row>
    <row r="215" spans="1:31" x14ac:dyDescent="0.2">
      <c r="C215" s="6" t="s">
        <v>5</v>
      </c>
      <c r="S215" s="20">
        <v>1895.83</v>
      </c>
      <c r="T215" s="20">
        <v>1895.83</v>
      </c>
      <c r="U215" s="20">
        <v>1895.83</v>
      </c>
      <c r="V215" s="20">
        <v>1895.83</v>
      </c>
      <c r="W215" s="20">
        <v>1895.83</v>
      </c>
      <c r="X215" s="20">
        <v>1895.83</v>
      </c>
      <c r="Y215" s="20">
        <v>1895.83</v>
      </c>
      <c r="Z215" s="20">
        <v>1895.83</v>
      </c>
      <c r="AA215" s="20">
        <v>1895.83</v>
      </c>
      <c r="AB215" s="20">
        <v>1895.83</v>
      </c>
      <c r="AC215" s="20">
        <v>1851.67</v>
      </c>
      <c r="AD215" s="37">
        <v>1851.67</v>
      </c>
      <c r="AE215" s="9">
        <f>SUM(S215:AD215)</f>
        <v>22661.64</v>
      </c>
    </row>
    <row r="216" spans="1:31" x14ac:dyDescent="0.2">
      <c r="C216" s="6" t="s">
        <v>6</v>
      </c>
      <c r="S216" s="20">
        <v>250</v>
      </c>
      <c r="AE216" s="9">
        <f>SUM(S216:AD216)</f>
        <v>250</v>
      </c>
    </row>
    <row r="217" spans="1:31" ht="13.5" thickBot="1" x14ac:dyDescent="0.25">
      <c r="C217" s="6" t="s">
        <v>7</v>
      </c>
      <c r="S217" s="20">
        <f t="shared" ref="S217:AB217" si="62">44166.67+74391.67</f>
        <v>118558.34</v>
      </c>
      <c r="T217" s="20">
        <f t="shared" si="62"/>
        <v>118558.34</v>
      </c>
      <c r="U217" s="20">
        <f t="shared" si="62"/>
        <v>118558.34</v>
      </c>
      <c r="V217" s="20">
        <f t="shared" si="62"/>
        <v>118558.34</v>
      </c>
      <c r="W217" s="20">
        <f>44166.67+74391.65</f>
        <v>118558.31999999999</v>
      </c>
      <c r="X217" s="20">
        <f t="shared" si="62"/>
        <v>118558.34</v>
      </c>
      <c r="Y217" s="20">
        <f t="shared" si="62"/>
        <v>118558.34</v>
      </c>
      <c r="Z217" s="20">
        <f t="shared" si="62"/>
        <v>118558.34</v>
      </c>
      <c r="AA217" s="20">
        <f t="shared" si="62"/>
        <v>118558.34</v>
      </c>
      <c r="AB217" s="20">
        <f t="shared" si="62"/>
        <v>118558.34</v>
      </c>
      <c r="AC217" s="20">
        <f>44166.63+74391.65</f>
        <v>118558.28</v>
      </c>
      <c r="AD217" s="37">
        <f>46250+72625</f>
        <v>118875</v>
      </c>
      <c r="AE217" s="9">
        <f>SUM(S217:AD217)</f>
        <v>1423016.66</v>
      </c>
    </row>
    <row r="218" spans="1:31" ht="13.5" thickBot="1" x14ac:dyDescent="0.25">
      <c r="C218" s="10" t="s">
        <v>72</v>
      </c>
      <c r="S218" s="11">
        <f t="shared" ref="S218:AD218" si="63">SUM(S215:S217)</f>
        <v>120704.17</v>
      </c>
      <c r="T218" s="11">
        <f t="shared" si="63"/>
        <v>120454.17</v>
      </c>
      <c r="U218" s="11">
        <f t="shared" si="63"/>
        <v>120454.17</v>
      </c>
      <c r="V218" s="11">
        <f t="shared" si="63"/>
        <v>120454.17</v>
      </c>
      <c r="W218" s="11">
        <f t="shared" si="63"/>
        <v>120454.15</v>
      </c>
      <c r="X218" s="11">
        <f t="shared" si="63"/>
        <v>120454.17</v>
      </c>
      <c r="Y218" s="11">
        <f t="shared" si="63"/>
        <v>120454.17</v>
      </c>
      <c r="Z218" s="11">
        <f t="shared" si="63"/>
        <v>120454.17</v>
      </c>
      <c r="AA218" s="11">
        <f t="shared" si="63"/>
        <v>120454.17</v>
      </c>
      <c r="AB218" s="11">
        <f t="shared" si="63"/>
        <v>120454.17</v>
      </c>
      <c r="AC218" s="11">
        <f t="shared" si="63"/>
        <v>120409.95</v>
      </c>
      <c r="AD218" s="38">
        <f t="shared" si="63"/>
        <v>120726.67</v>
      </c>
      <c r="AE218" s="11">
        <f>SUM(AE215:AE217)</f>
        <v>1445928.2999999998</v>
      </c>
    </row>
    <row r="219" spans="1:31" x14ac:dyDescent="0.2">
      <c r="C219" s="12"/>
    </row>
    <row r="220" spans="1:31" ht="15.75" x14ac:dyDescent="0.25">
      <c r="A220" s="1">
        <f>A214+1</f>
        <v>30</v>
      </c>
      <c r="B220" s="18"/>
      <c r="C220" s="19" t="s">
        <v>73</v>
      </c>
    </row>
    <row r="221" spans="1:31" x14ac:dyDescent="0.2">
      <c r="C221" s="6" t="s">
        <v>5</v>
      </c>
      <c r="S221" s="20">
        <v>415.83</v>
      </c>
      <c r="T221" s="20">
        <v>415.83</v>
      </c>
      <c r="U221" s="20">
        <v>415.83</v>
      </c>
      <c r="V221" s="20">
        <v>415.83</v>
      </c>
      <c r="W221" s="20">
        <v>415.83</v>
      </c>
      <c r="X221" s="20">
        <v>415.83</v>
      </c>
      <c r="Y221" s="20">
        <v>415.83</v>
      </c>
      <c r="Z221" s="20">
        <v>415.83</v>
      </c>
      <c r="AA221" s="20">
        <v>415.83</v>
      </c>
      <c r="AB221" s="20">
        <v>415.83</v>
      </c>
      <c r="AC221" s="20">
        <v>395.42</v>
      </c>
      <c r="AD221" s="37">
        <v>395.42</v>
      </c>
      <c r="AE221" s="9">
        <f>SUM(S221:AD221)</f>
        <v>4949.1400000000003</v>
      </c>
    </row>
    <row r="222" spans="1:31" x14ac:dyDescent="0.2">
      <c r="C222" s="6" t="s">
        <v>6</v>
      </c>
      <c r="S222" s="20">
        <v>250</v>
      </c>
      <c r="AE222" s="9">
        <f>SUM(S222:AD222)</f>
        <v>250</v>
      </c>
    </row>
    <row r="223" spans="1:31" ht="13.5" thickBot="1" x14ac:dyDescent="0.25">
      <c r="C223" s="6" t="s">
        <v>7</v>
      </c>
      <c r="S223" s="20">
        <f t="shared" ref="S223:V223" si="64">20416.67+16487.5</f>
        <v>36904.17</v>
      </c>
      <c r="T223" s="20">
        <f t="shared" si="64"/>
        <v>36904.17</v>
      </c>
      <c r="U223" s="20">
        <f t="shared" si="64"/>
        <v>36904.17</v>
      </c>
      <c r="V223" s="20">
        <f t="shared" si="64"/>
        <v>36904.17</v>
      </c>
      <c r="W223" s="20">
        <f>20416.63+16487.5</f>
        <v>36904.130000000005</v>
      </c>
      <c r="X223" s="20">
        <f>21250+15670.83</f>
        <v>36920.83</v>
      </c>
      <c r="Y223" s="20">
        <f t="shared" ref="Y223:AD223" si="65">21250+15670.83</f>
        <v>36920.83</v>
      </c>
      <c r="Z223" s="20">
        <f t="shared" si="65"/>
        <v>36920.83</v>
      </c>
      <c r="AA223" s="20">
        <f t="shared" si="65"/>
        <v>36920.83</v>
      </c>
      <c r="AB223" s="20">
        <f t="shared" si="65"/>
        <v>36920.83</v>
      </c>
      <c r="AC223" s="20">
        <f>21250+15670.85</f>
        <v>36920.85</v>
      </c>
      <c r="AD223" s="37">
        <f t="shared" si="65"/>
        <v>36920.83</v>
      </c>
      <c r="AE223" s="9">
        <f>SUM(S223:AD223)</f>
        <v>442966.64000000007</v>
      </c>
    </row>
    <row r="224" spans="1:31" ht="13.5" thickBot="1" x14ac:dyDescent="0.25">
      <c r="C224" s="10" t="s">
        <v>74</v>
      </c>
      <c r="S224" s="11">
        <f t="shared" ref="S224:AD224" si="66">SUM(S221:S223)</f>
        <v>37570</v>
      </c>
      <c r="T224" s="11">
        <f t="shared" si="66"/>
        <v>37320</v>
      </c>
      <c r="U224" s="11">
        <f t="shared" si="66"/>
        <v>37320</v>
      </c>
      <c r="V224" s="11">
        <f t="shared" si="66"/>
        <v>37320</v>
      </c>
      <c r="W224" s="11">
        <f t="shared" si="66"/>
        <v>37319.960000000006</v>
      </c>
      <c r="X224" s="11">
        <f t="shared" si="66"/>
        <v>37336.660000000003</v>
      </c>
      <c r="Y224" s="11">
        <f t="shared" si="66"/>
        <v>37336.660000000003</v>
      </c>
      <c r="Z224" s="11">
        <f t="shared" si="66"/>
        <v>37336.660000000003</v>
      </c>
      <c r="AA224" s="11">
        <f t="shared" si="66"/>
        <v>37336.660000000003</v>
      </c>
      <c r="AB224" s="11">
        <f t="shared" si="66"/>
        <v>37336.660000000003</v>
      </c>
      <c r="AC224" s="11">
        <f t="shared" si="66"/>
        <v>37316.269999999997</v>
      </c>
      <c r="AD224" s="38">
        <f t="shared" si="66"/>
        <v>37316.25</v>
      </c>
      <c r="AE224" s="11">
        <f>SUM(AE221:AE223)</f>
        <v>448165.78000000009</v>
      </c>
    </row>
    <row r="225" spans="1:31" x14ac:dyDescent="0.2">
      <c r="C225" s="12"/>
    </row>
    <row r="226" spans="1:31" ht="15.75" x14ac:dyDescent="0.25">
      <c r="A226" s="1">
        <f>A220+1</f>
        <v>31</v>
      </c>
      <c r="B226" s="18"/>
      <c r="C226" s="19" t="s">
        <v>75</v>
      </c>
    </row>
    <row r="227" spans="1:31" x14ac:dyDescent="0.2">
      <c r="C227" s="6" t="s">
        <v>5</v>
      </c>
      <c r="S227" s="20">
        <v>1005</v>
      </c>
      <c r="T227" s="20">
        <v>1005</v>
      </c>
      <c r="U227" s="20">
        <v>1005</v>
      </c>
      <c r="V227" s="20">
        <v>1005</v>
      </c>
      <c r="W227" s="20">
        <v>1005</v>
      </c>
      <c r="X227" s="20">
        <v>1005</v>
      </c>
      <c r="Y227" s="20">
        <v>1005</v>
      </c>
      <c r="Z227" s="20">
        <v>1005</v>
      </c>
      <c r="AA227" s="20">
        <v>1005</v>
      </c>
      <c r="AB227" s="20">
        <v>1005</v>
      </c>
      <c r="AC227" s="20">
        <v>1005</v>
      </c>
      <c r="AD227" s="37">
        <v>982.08</v>
      </c>
      <c r="AE227" s="9">
        <f>SUM(S227:AD227)</f>
        <v>12037.08</v>
      </c>
    </row>
    <row r="228" spans="1:31" x14ac:dyDescent="0.2">
      <c r="C228" s="6" t="s">
        <v>6</v>
      </c>
      <c r="S228" s="20">
        <v>250</v>
      </c>
      <c r="AE228" s="9">
        <f>SUM(S228:AD228)</f>
        <v>250</v>
      </c>
    </row>
    <row r="229" spans="1:31" ht="13.5" thickBot="1" x14ac:dyDescent="0.25">
      <c r="C229" s="6" t="s">
        <v>7</v>
      </c>
      <c r="S229" s="20">
        <f>22916.63+41690.6</f>
        <v>64607.229999999996</v>
      </c>
      <c r="T229" s="20">
        <f>23750+40773.96</f>
        <v>64523.96</v>
      </c>
      <c r="U229" s="20">
        <f t="shared" ref="U229:AD229" si="67">23750+40773.96</f>
        <v>64523.96</v>
      </c>
      <c r="V229" s="20">
        <f t="shared" si="67"/>
        <v>64523.96</v>
      </c>
      <c r="W229" s="20">
        <f t="shared" si="67"/>
        <v>64523.96</v>
      </c>
      <c r="X229" s="20">
        <f t="shared" si="67"/>
        <v>64523.96</v>
      </c>
      <c r="Y229" s="20">
        <f>23750+40773.95</f>
        <v>64523.95</v>
      </c>
      <c r="Z229" s="20">
        <f t="shared" si="67"/>
        <v>64523.96</v>
      </c>
      <c r="AA229" s="20">
        <f t="shared" si="67"/>
        <v>64523.96</v>
      </c>
      <c r="AB229" s="20">
        <f t="shared" si="67"/>
        <v>64523.96</v>
      </c>
      <c r="AC229" s="20">
        <f t="shared" si="67"/>
        <v>64523.96</v>
      </c>
      <c r="AD229" s="37">
        <f t="shared" si="67"/>
        <v>64523.96</v>
      </c>
      <c r="AE229" s="9">
        <f>SUM(S229:AD229)</f>
        <v>774370.77999999991</v>
      </c>
    </row>
    <row r="230" spans="1:31" ht="13.5" thickBot="1" x14ac:dyDescent="0.25">
      <c r="C230" s="10" t="s">
        <v>76</v>
      </c>
      <c r="S230" s="11">
        <f t="shared" ref="S230:AD230" si="68">SUM(S227:S229)</f>
        <v>65862.23</v>
      </c>
      <c r="T230" s="11">
        <f t="shared" si="68"/>
        <v>65528.959999999999</v>
      </c>
      <c r="U230" s="11">
        <f t="shared" si="68"/>
        <v>65528.959999999999</v>
      </c>
      <c r="V230" s="11">
        <f t="shared" si="68"/>
        <v>65528.959999999999</v>
      </c>
      <c r="W230" s="11">
        <f t="shared" si="68"/>
        <v>65528.959999999999</v>
      </c>
      <c r="X230" s="11">
        <f t="shared" si="68"/>
        <v>65528.959999999999</v>
      </c>
      <c r="Y230" s="11">
        <f t="shared" si="68"/>
        <v>65528.95</v>
      </c>
      <c r="Z230" s="11">
        <f t="shared" si="68"/>
        <v>65528.959999999999</v>
      </c>
      <c r="AA230" s="11">
        <f t="shared" si="68"/>
        <v>65528.959999999999</v>
      </c>
      <c r="AB230" s="11">
        <f t="shared" si="68"/>
        <v>65528.959999999999</v>
      </c>
      <c r="AC230" s="11">
        <f t="shared" si="68"/>
        <v>65528.959999999999</v>
      </c>
      <c r="AD230" s="38">
        <f t="shared" si="68"/>
        <v>65506.04</v>
      </c>
      <c r="AE230" s="11">
        <f>SUM(AE227:AE229)</f>
        <v>786657.85999999987</v>
      </c>
    </row>
    <row r="231" spans="1:31" x14ac:dyDescent="0.2">
      <c r="C231" s="12"/>
    </row>
    <row r="232" spans="1:31" ht="15.75" x14ac:dyDescent="0.25">
      <c r="A232" s="1">
        <f>A226+1</f>
        <v>32</v>
      </c>
      <c r="B232" s="18"/>
      <c r="C232" s="19" t="s">
        <v>77</v>
      </c>
    </row>
    <row r="233" spans="1:31" x14ac:dyDescent="0.2">
      <c r="C233" s="6" t="s">
        <v>5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25">
        <v>0</v>
      </c>
      <c r="AE233" s="9">
        <f>SUM(S233:AD233)</f>
        <v>0</v>
      </c>
    </row>
    <row r="234" spans="1:31" x14ac:dyDescent="0.2">
      <c r="C234" s="6" t="s">
        <v>6</v>
      </c>
      <c r="S234" s="20">
        <v>250</v>
      </c>
      <c r="AE234" s="9">
        <f>SUM(S234:AD234)</f>
        <v>250</v>
      </c>
    </row>
    <row r="235" spans="1:31" ht="13.5" thickBot="1" x14ac:dyDescent="0.25">
      <c r="C235" s="6" t="s">
        <v>7</v>
      </c>
      <c r="S235" s="20">
        <v>43479.99</v>
      </c>
      <c r="T235" s="20">
        <v>43479.99</v>
      </c>
      <c r="U235" s="20">
        <v>43479.99</v>
      </c>
      <c r="V235" s="20">
        <v>43479.99</v>
      </c>
      <c r="W235" s="20">
        <v>43479.99</v>
      </c>
      <c r="X235" s="20">
        <v>43479.99</v>
      </c>
      <c r="Y235" s="20">
        <v>43479.99</v>
      </c>
      <c r="Z235" s="20">
        <v>43479.99</v>
      </c>
      <c r="AA235" s="20">
        <v>43479.99</v>
      </c>
      <c r="AB235" s="20">
        <v>43479.99</v>
      </c>
      <c r="AC235" s="20">
        <v>43479.99</v>
      </c>
      <c r="AD235" s="37">
        <v>43479.99</v>
      </c>
      <c r="AE235" s="9">
        <f>SUM(S235:AD235)</f>
        <v>521759.87999999995</v>
      </c>
    </row>
    <row r="236" spans="1:31" ht="13.5" thickBot="1" x14ac:dyDescent="0.25">
      <c r="C236" s="10" t="s">
        <v>78</v>
      </c>
      <c r="S236" s="11">
        <f t="shared" ref="S236:AD236" si="69">SUM(S233:S235)</f>
        <v>43729.99</v>
      </c>
      <c r="T236" s="11">
        <f t="shared" si="69"/>
        <v>43479.99</v>
      </c>
      <c r="U236" s="11">
        <f t="shared" si="69"/>
        <v>43479.99</v>
      </c>
      <c r="V236" s="11">
        <f t="shared" si="69"/>
        <v>43479.99</v>
      </c>
      <c r="W236" s="11">
        <f t="shared" si="69"/>
        <v>43479.99</v>
      </c>
      <c r="X236" s="11">
        <f t="shared" si="69"/>
        <v>43479.99</v>
      </c>
      <c r="Y236" s="11">
        <f t="shared" si="69"/>
        <v>43479.99</v>
      </c>
      <c r="Z236" s="11">
        <f t="shared" si="69"/>
        <v>43479.99</v>
      </c>
      <c r="AA236" s="11">
        <f t="shared" si="69"/>
        <v>43479.99</v>
      </c>
      <c r="AB236" s="11">
        <f t="shared" si="69"/>
        <v>43479.99</v>
      </c>
      <c r="AC236" s="11">
        <f t="shared" si="69"/>
        <v>43479.99</v>
      </c>
      <c r="AD236" s="38">
        <f t="shared" si="69"/>
        <v>43479.99</v>
      </c>
      <c r="AE236" s="11">
        <f>SUM(AE233:AE235)</f>
        <v>522009.87999999995</v>
      </c>
    </row>
    <row r="237" spans="1:31" x14ac:dyDescent="0.2">
      <c r="C237" s="12"/>
    </row>
    <row r="238" spans="1:31" ht="15.75" x14ac:dyDescent="0.25">
      <c r="B238" s="21" t="s">
        <v>3</v>
      </c>
      <c r="C238" s="8" t="s">
        <v>79</v>
      </c>
    </row>
    <row r="239" spans="1:31" x14ac:dyDescent="0.2">
      <c r="C239" s="6" t="s">
        <v>5</v>
      </c>
    </row>
    <row r="240" spans="1:31" x14ac:dyDescent="0.2">
      <c r="C240" s="6" t="s">
        <v>6</v>
      </c>
    </row>
    <row r="241" spans="1:31" ht="13.5" thickBot="1" x14ac:dyDescent="0.25">
      <c r="C241" s="6" t="s">
        <v>7</v>
      </c>
    </row>
    <row r="242" spans="1:31" ht="13.5" thickBot="1" x14ac:dyDescent="0.25">
      <c r="C242" s="10" t="s">
        <v>18</v>
      </c>
    </row>
    <row r="243" spans="1:31" x14ac:dyDescent="0.2">
      <c r="C243" s="12"/>
    </row>
    <row r="244" spans="1:31" ht="15.75" x14ac:dyDescent="0.25">
      <c r="A244" s="1">
        <f>A232+1</f>
        <v>33</v>
      </c>
      <c r="B244" s="18"/>
      <c r="C244" s="19" t="s">
        <v>80</v>
      </c>
    </row>
    <row r="245" spans="1:31" x14ac:dyDescent="0.2">
      <c r="C245" s="6" t="s">
        <v>5</v>
      </c>
      <c r="S245" s="20">
        <v>1620.42</v>
      </c>
      <c r="T245" s="20">
        <v>1620.42</v>
      </c>
      <c r="U245" s="20">
        <v>1620.42</v>
      </c>
      <c r="V245" s="20">
        <v>1620.42</v>
      </c>
      <c r="W245" s="20">
        <v>1620.42</v>
      </c>
      <c r="X245" s="20">
        <v>1620.42</v>
      </c>
      <c r="Y245" s="20">
        <v>1620.42</v>
      </c>
      <c r="Z245" s="20">
        <v>1620.42</v>
      </c>
      <c r="AA245" s="20">
        <v>1620.42</v>
      </c>
      <c r="AB245" s="20">
        <v>1620.42</v>
      </c>
      <c r="AC245" s="20">
        <v>1620.42</v>
      </c>
      <c r="AD245" s="37">
        <v>1620.42</v>
      </c>
      <c r="AE245" s="9">
        <f>SUM(S245:AD245)</f>
        <v>19445.04</v>
      </c>
    </row>
    <row r="246" spans="1:31" x14ac:dyDescent="0.2">
      <c r="C246" s="6" t="s">
        <v>6</v>
      </c>
      <c r="S246" s="20">
        <v>250</v>
      </c>
      <c r="AE246" s="9">
        <f>SUM(S246:AD246)</f>
        <v>250</v>
      </c>
    </row>
    <row r="247" spans="1:31" ht="13.5" thickBot="1" x14ac:dyDescent="0.25">
      <c r="C247" s="6" t="s">
        <v>7</v>
      </c>
      <c r="S247" s="20">
        <f t="shared" ref="S247:AB247" si="70">39166.67+64032.29</f>
        <v>103198.95999999999</v>
      </c>
      <c r="T247" s="20">
        <f t="shared" si="70"/>
        <v>103198.95999999999</v>
      </c>
      <c r="U247" s="20">
        <f t="shared" si="70"/>
        <v>103198.95999999999</v>
      </c>
      <c r="V247" s="20">
        <f t="shared" si="70"/>
        <v>103198.95999999999</v>
      </c>
      <c r="W247" s="20">
        <f>39166.67+64032.3</f>
        <v>103198.97</v>
      </c>
      <c r="X247" s="20">
        <f t="shared" si="70"/>
        <v>103198.95999999999</v>
      </c>
      <c r="Y247" s="20">
        <f t="shared" si="70"/>
        <v>103198.95999999999</v>
      </c>
      <c r="Z247" s="20">
        <f t="shared" si="70"/>
        <v>103198.95999999999</v>
      </c>
      <c r="AA247" s="20">
        <f t="shared" si="70"/>
        <v>103198.95999999999</v>
      </c>
      <c r="AB247" s="20">
        <f t="shared" si="70"/>
        <v>103198.95999999999</v>
      </c>
      <c r="AC247" s="20">
        <f>39166.63+64032.3</f>
        <v>103198.93</v>
      </c>
      <c r="AD247" s="37">
        <f>40416.67+62465.63</f>
        <v>102882.29999999999</v>
      </c>
      <c r="AE247" s="9">
        <f>SUM(S247:AD247)</f>
        <v>1238070.8399999999</v>
      </c>
    </row>
    <row r="248" spans="1:31" ht="13.5" thickBot="1" x14ac:dyDescent="0.25">
      <c r="C248" s="10" t="s">
        <v>81</v>
      </c>
      <c r="S248" s="11">
        <f t="shared" ref="S248:AD248" si="71">SUM(S245:S247)</f>
        <v>105069.37999999999</v>
      </c>
      <c r="T248" s="11">
        <f t="shared" si="71"/>
        <v>104819.37999999999</v>
      </c>
      <c r="U248" s="11">
        <f t="shared" si="71"/>
        <v>104819.37999999999</v>
      </c>
      <c r="V248" s="11">
        <f t="shared" si="71"/>
        <v>104819.37999999999</v>
      </c>
      <c r="W248" s="11">
        <f t="shared" si="71"/>
        <v>104819.39</v>
      </c>
      <c r="X248" s="11">
        <f t="shared" si="71"/>
        <v>104819.37999999999</v>
      </c>
      <c r="Y248" s="11">
        <f t="shared" si="71"/>
        <v>104819.37999999999</v>
      </c>
      <c r="Z248" s="11">
        <f t="shared" si="71"/>
        <v>104819.37999999999</v>
      </c>
      <c r="AA248" s="11">
        <f t="shared" si="71"/>
        <v>104819.37999999999</v>
      </c>
      <c r="AB248" s="11">
        <f t="shared" si="71"/>
        <v>104819.37999999999</v>
      </c>
      <c r="AC248" s="11">
        <f t="shared" si="71"/>
        <v>104819.34999999999</v>
      </c>
      <c r="AD248" s="38">
        <f t="shared" si="71"/>
        <v>104502.71999999999</v>
      </c>
      <c r="AE248" s="11">
        <f>SUM(AE245:AE247)</f>
        <v>1257765.8799999999</v>
      </c>
    </row>
    <row r="249" spans="1:31" x14ac:dyDescent="0.2">
      <c r="C249" s="12"/>
    </row>
    <row r="250" spans="1:31" ht="15.75" x14ac:dyDescent="0.25">
      <c r="A250" s="1">
        <f>A244+1</f>
        <v>34</v>
      </c>
      <c r="B250" s="18"/>
      <c r="C250" s="19" t="s">
        <v>82</v>
      </c>
    </row>
    <row r="251" spans="1:31" x14ac:dyDescent="0.2">
      <c r="C251" s="6" t="s">
        <v>5</v>
      </c>
      <c r="S251" s="20">
        <v>375.83</v>
      </c>
      <c r="T251" s="20">
        <v>353.33</v>
      </c>
      <c r="U251" s="20">
        <v>353.33</v>
      </c>
      <c r="V251" s="20">
        <v>353.33</v>
      </c>
      <c r="W251" s="20">
        <v>353.33</v>
      </c>
      <c r="X251" s="20">
        <v>353.33</v>
      </c>
      <c r="Y251" s="20">
        <v>353.33</v>
      </c>
      <c r="Z251" s="20">
        <v>353.33</v>
      </c>
      <c r="AA251" s="20">
        <v>353.33</v>
      </c>
      <c r="AB251" s="20">
        <v>353.33</v>
      </c>
      <c r="AC251" s="20">
        <v>353.33</v>
      </c>
      <c r="AD251" s="37">
        <v>353.33</v>
      </c>
      <c r="AE251" s="9">
        <f>SUM(S251:AD251)</f>
        <v>4262.46</v>
      </c>
    </row>
    <row r="252" spans="1:31" x14ac:dyDescent="0.2">
      <c r="C252" s="6" t="s">
        <v>6</v>
      </c>
      <c r="S252" s="20">
        <v>250</v>
      </c>
      <c r="AE252" s="9">
        <f>SUM(S252:AD252)</f>
        <v>250</v>
      </c>
    </row>
    <row r="253" spans="1:31" ht="13.5" thickBot="1" x14ac:dyDescent="0.25">
      <c r="C253" s="6" t="s">
        <v>7</v>
      </c>
      <c r="S253" s="20">
        <f t="shared" ref="S253:V253" si="72">23333.33+12975</f>
        <v>36308.33</v>
      </c>
      <c r="T253" s="20">
        <f t="shared" si="72"/>
        <v>36308.33</v>
      </c>
      <c r="U253" s="20">
        <f t="shared" si="72"/>
        <v>36308.33</v>
      </c>
      <c r="V253" s="20">
        <f t="shared" si="72"/>
        <v>36308.33</v>
      </c>
      <c r="W253" s="20">
        <f>23333.37+12975</f>
        <v>36308.369999999995</v>
      </c>
      <c r="X253" s="20">
        <f>24166.67+12041.67</f>
        <v>36208.339999999997</v>
      </c>
      <c r="Y253" s="20">
        <f t="shared" ref="Y253:AD253" si="73">24166.67+12041.67</f>
        <v>36208.339999999997</v>
      </c>
      <c r="Z253" s="20">
        <f t="shared" si="73"/>
        <v>36208.339999999997</v>
      </c>
      <c r="AA253" s="20">
        <f t="shared" si="73"/>
        <v>36208.339999999997</v>
      </c>
      <c r="AB253" s="20">
        <f t="shared" si="73"/>
        <v>36208.339999999997</v>
      </c>
      <c r="AC253" s="20">
        <f>24166.67+12041.65</f>
        <v>36208.32</v>
      </c>
      <c r="AD253" s="37">
        <f t="shared" si="73"/>
        <v>36208.339999999997</v>
      </c>
      <c r="AE253" s="9">
        <f>SUM(S253:AD253)</f>
        <v>435000.04999999993</v>
      </c>
    </row>
    <row r="254" spans="1:31" ht="13.5" thickBot="1" x14ac:dyDescent="0.25">
      <c r="C254" s="10" t="s">
        <v>83</v>
      </c>
      <c r="S254" s="11">
        <f t="shared" ref="S254:AD254" si="74">SUM(S251:S253)</f>
        <v>36934.160000000003</v>
      </c>
      <c r="T254" s="11">
        <f t="shared" si="74"/>
        <v>36661.660000000003</v>
      </c>
      <c r="U254" s="11">
        <f t="shared" si="74"/>
        <v>36661.660000000003</v>
      </c>
      <c r="V254" s="11">
        <f t="shared" si="74"/>
        <v>36661.660000000003</v>
      </c>
      <c r="W254" s="11">
        <f t="shared" si="74"/>
        <v>36661.699999999997</v>
      </c>
      <c r="X254" s="11">
        <f t="shared" si="74"/>
        <v>36561.67</v>
      </c>
      <c r="Y254" s="11">
        <f t="shared" si="74"/>
        <v>36561.67</v>
      </c>
      <c r="Z254" s="11">
        <f t="shared" si="74"/>
        <v>36561.67</v>
      </c>
      <c r="AA254" s="11">
        <f t="shared" si="74"/>
        <v>36561.67</v>
      </c>
      <c r="AB254" s="11">
        <f t="shared" si="74"/>
        <v>36561.67</v>
      </c>
      <c r="AC254" s="11">
        <f t="shared" si="74"/>
        <v>36561.65</v>
      </c>
      <c r="AD254" s="38">
        <f t="shared" si="74"/>
        <v>36561.67</v>
      </c>
      <c r="AE254" s="11">
        <f>SUM(AE251:AE253)</f>
        <v>439512.50999999995</v>
      </c>
    </row>
    <row r="255" spans="1:31" x14ac:dyDescent="0.2">
      <c r="C255" s="12"/>
    </row>
    <row r="256" spans="1:31" ht="15.75" x14ac:dyDescent="0.25">
      <c r="A256" s="1">
        <f>A250+1</f>
        <v>35</v>
      </c>
      <c r="B256" s="18"/>
      <c r="C256" s="19" t="s">
        <v>84</v>
      </c>
    </row>
    <row r="257" spans="2:31" x14ac:dyDescent="0.2">
      <c r="C257" s="6" t="s">
        <v>5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25">
        <v>0</v>
      </c>
      <c r="AE257" s="9">
        <f>SUM(S257:AD257)</f>
        <v>0</v>
      </c>
    </row>
    <row r="258" spans="2:31" x14ac:dyDescent="0.2">
      <c r="C258" s="6" t="s">
        <v>6</v>
      </c>
      <c r="S258" s="20">
        <v>250</v>
      </c>
      <c r="AE258" s="9">
        <f>SUM(S258:AD258)</f>
        <v>250</v>
      </c>
    </row>
    <row r="259" spans="2:31" ht="13.5" thickBot="1" x14ac:dyDescent="0.25">
      <c r="C259" s="6" t="s">
        <v>7</v>
      </c>
      <c r="S259" s="20">
        <f>38333.33+79083.33</f>
        <v>117416.66</v>
      </c>
      <c r="T259" s="20">
        <f t="shared" ref="T259:AC259" si="75">38333.33+79083.33</f>
        <v>117416.66</v>
      </c>
      <c r="U259" s="20">
        <f t="shared" si="75"/>
        <v>117416.66</v>
      </c>
      <c r="V259" s="20">
        <f t="shared" si="75"/>
        <v>117416.66</v>
      </c>
      <c r="W259" s="20">
        <f t="shared" si="75"/>
        <v>117416.66</v>
      </c>
      <c r="X259" s="20">
        <f>38333.33+79083.35</f>
        <v>117416.68000000001</v>
      </c>
      <c r="Y259" s="20">
        <f t="shared" si="75"/>
        <v>117416.66</v>
      </c>
      <c r="Z259" s="20">
        <f t="shared" si="75"/>
        <v>117416.66</v>
      </c>
      <c r="AA259" s="20">
        <f t="shared" si="75"/>
        <v>117416.66</v>
      </c>
      <c r="AB259" s="20">
        <f t="shared" si="75"/>
        <v>117416.66</v>
      </c>
      <c r="AC259" s="20">
        <f t="shared" si="75"/>
        <v>117416.66</v>
      </c>
      <c r="AD259" s="37">
        <f>38333.37+79083.35</f>
        <v>117416.72</v>
      </c>
      <c r="AE259" s="9">
        <f>SUM(S259:AD259)</f>
        <v>1409000</v>
      </c>
    </row>
    <row r="260" spans="2:31" ht="13.5" thickBot="1" x14ac:dyDescent="0.25">
      <c r="C260" s="10" t="s">
        <v>85</v>
      </c>
      <c r="S260" s="11">
        <f t="shared" ref="S260:AD260" si="76">SUM(S257:S259)</f>
        <v>117666.66</v>
      </c>
      <c r="T260" s="11">
        <f t="shared" si="76"/>
        <v>117416.66</v>
      </c>
      <c r="U260" s="11">
        <f t="shared" si="76"/>
        <v>117416.66</v>
      </c>
      <c r="V260" s="11">
        <f t="shared" si="76"/>
        <v>117416.66</v>
      </c>
      <c r="W260" s="11">
        <f t="shared" si="76"/>
        <v>117416.66</v>
      </c>
      <c r="X260" s="11">
        <f t="shared" si="76"/>
        <v>117416.68000000001</v>
      </c>
      <c r="Y260" s="11">
        <f t="shared" si="76"/>
        <v>117416.66</v>
      </c>
      <c r="Z260" s="11">
        <f t="shared" si="76"/>
        <v>117416.66</v>
      </c>
      <c r="AA260" s="11">
        <f t="shared" si="76"/>
        <v>117416.66</v>
      </c>
      <c r="AB260" s="11">
        <f t="shared" si="76"/>
        <v>117416.66</v>
      </c>
      <c r="AC260" s="11">
        <f t="shared" si="76"/>
        <v>117416.66</v>
      </c>
      <c r="AD260" s="38">
        <f t="shared" si="76"/>
        <v>117416.72</v>
      </c>
      <c r="AE260" s="11">
        <f>SUM(AE257:AE259)</f>
        <v>1409250</v>
      </c>
    </row>
    <row r="261" spans="2:31" x14ac:dyDescent="0.2">
      <c r="C261" s="12"/>
    </row>
    <row r="262" spans="2:31" ht="15.75" x14ac:dyDescent="0.25">
      <c r="B262" s="21" t="s">
        <v>3</v>
      </c>
      <c r="C262" s="8" t="s">
        <v>86</v>
      </c>
    </row>
    <row r="263" spans="2:31" x14ac:dyDescent="0.2">
      <c r="C263" s="6" t="s">
        <v>5</v>
      </c>
    </row>
    <row r="264" spans="2:31" x14ac:dyDescent="0.2">
      <c r="C264" s="6" t="s">
        <v>6</v>
      </c>
    </row>
    <row r="265" spans="2:31" ht="13.5" thickBot="1" x14ac:dyDescent="0.25">
      <c r="C265" s="6" t="s">
        <v>7</v>
      </c>
    </row>
    <row r="266" spans="2:31" ht="13.5" thickBot="1" x14ac:dyDescent="0.25">
      <c r="C266" s="10" t="s">
        <v>87</v>
      </c>
    </row>
    <row r="267" spans="2:31" x14ac:dyDescent="0.2">
      <c r="C267" s="12"/>
    </row>
    <row r="268" spans="2:31" ht="15.75" x14ac:dyDescent="0.25">
      <c r="B268" s="21" t="s">
        <v>3</v>
      </c>
      <c r="C268" s="8" t="s">
        <v>88</v>
      </c>
    </row>
    <row r="269" spans="2:31" x14ac:dyDescent="0.2">
      <c r="C269" s="6" t="s">
        <v>5</v>
      </c>
    </row>
    <row r="270" spans="2:31" x14ac:dyDescent="0.2">
      <c r="C270" s="6" t="s">
        <v>6</v>
      </c>
    </row>
    <row r="271" spans="2:31" ht="13.5" thickBot="1" x14ac:dyDescent="0.25">
      <c r="C271" s="6" t="s">
        <v>7</v>
      </c>
    </row>
    <row r="272" spans="2:31" ht="13.5" thickBot="1" x14ac:dyDescent="0.25">
      <c r="C272" s="10" t="s">
        <v>89</v>
      </c>
    </row>
    <row r="273" spans="1:31" x14ac:dyDescent="0.2">
      <c r="C273" s="12"/>
    </row>
    <row r="274" spans="1:31" ht="15.75" x14ac:dyDescent="0.25">
      <c r="B274" s="21" t="s">
        <v>3</v>
      </c>
      <c r="C274" s="8" t="s">
        <v>90</v>
      </c>
    </row>
    <row r="275" spans="1:31" x14ac:dyDescent="0.2">
      <c r="C275" s="6" t="s">
        <v>5</v>
      </c>
      <c r="S275" s="9">
        <v>0</v>
      </c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25"/>
      <c r="AE275" s="9">
        <f>SUM(S275:AD275)</f>
        <v>0</v>
      </c>
    </row>
    <row r="276" spans="1:31" x14ac:dyDescent="0.2">
      <c r="C276" s="6" t="s">
        <v>6</v>
      </c>
      <c r="S276" s="20">
        <v>250</v>
      </c>
      <c r="AE276" s="9">
        <f>SUM(S276:AD276)</f>
        <v>250</v>
      </c>
    </row>
    <row r="277" spans="1:31" ht="13.5" thickBot="1" x14ac:dyDescent="0.25">
      <c r="C277" s="6" t="s">
        <v>7</v>
      </c>
      <c r="S277" s="20">
        <f t="shared" ref="S277" si="77">30000+31511.98</f>
        <v>61511.979999999996</v>
      </c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37"/>
      <c r="AE277" s="9">
        <f>SUM(S277:AD277)</f>
        <v>61511.979999999996</v>
      </c>
    </row>
    <row r="278" spans="1:31" ht="13.5" thickBot="1" x14ac:dyDescent="0.25">
      <c r="C278" s="10" t="s">
        <v>91</v>
      </c>
      <c r="S278" s="11">
        <f t="shared" ref="S278:AD278" si="78">SUM(S275:S277)</f>
        <v>61761.979999999996</v>
      </c>
      <c r="T278" s="11">
        <f t="shared" si="78"/>
        <v>0</v>
      </c>
      <c r="U278" s="11">
        <f t="shared" si="78"/>
        <v>0</v>
      </c>
      <c r="V278" s="11">
        <f t="shared" si="78"/>
        <v>0</v>
      </c>
      <c r="W278" s="11">
        <f t="shared" si="78"/>
        <v>0</v>
      </c>
      <c r="X278" s="11">
        <f t="shared" si="78"/>
        <v>0</v>
      </c>
      <c r="Y278" s="11">
        <f t="shared" si="78"/>
        <v>0</v>
      </c>
      <c r="Z278" s="11">
        <f t="shared" si="78"/>
        <v>0</v>
      </c>
      <c r="AA278" s="11">
        <f t="shared" si="78"/>
        <v>0</v>
      </c>
      <c r="AB278" s="11">
        <f t="shared" si="78"/>
        <v>0</v>
      </c>
      <c r="AC278" s="11">
        <f t="shared" si="78"/>
        <v>0</v>
      </c>
      <c r="AD278" s="38">
        <f t="shared" si="78"/>
        <v>0</v>
      </c>
      <c r="AE278" s="11">
        <f>SUM(AE275:AE277)</f>
        <v>61761.979999999996</v>
      </c>
    </row>
    <row r="279" spans="1:31" x14ac:dyDescent="0.2">
      <c r="C279" s="12"/>
    </row>
    <row r="280" spans="1:31" ht="15.75" x14ac:dyDescent="0.25">
      <c r="A280" s="1">
        <f>A256+1</f>
        <v>36</v>
      </c>
      <c r="B280" s="18"/>
      <c r="C280" s="19" t="s">
        <v>92</v>
      </c>
    </row>
    <row r="281" spans="1:31" x14ac:dyDescent="0.2">
      <c r="C281" s="6" t="s">
        <v>5</v>
      </c>
      <c r="S281" s="20">
        <v>452.08</v>
      </c>
      <c r="T281" s="20">
        <v>452.08</v>
      </c>
      <c r="U281" s="20">
        <v>452.08</v>
      </c>
      <c r="V281" s="20">
        <v>452.08</v>
      </c>
      <c r="W281" s="20">
        <v>452.08</v>
      </c>
      <c r="X281" s="20">
        <v>452.08</v>
      </c>
      <c r="Y281" s="20">
        <v>452.08</v>
      </c>
      <c r="Z281" s="20">
        <v>439.58</v>
      </c>
      <c r="AA281" s="20">
        <v>439.58</v>
      </c>
      <c r="AB281" s="20">
        <v>439.58</v>
      </c>
      <c r="AC281" s="20">
        <v>439.58</v>
      </c>
      <c r="AD281" s="37">
        <v>439.58</v>
      </c>
      <c r="AE281" s="9">
        <f>SUM(S281:AD281)</f>
        <v>5362.46</v>
      </c>
    </row>
    <row r="282" spans="1:31" x14ac:dyDescent="0.2">
      <c r="C282" s="6" t="s">
        <v>6</v>
      </c>
      <c r="S282" s="20">
        <v>250</v>
      </c>
      <c r="AE282" s="9">
        <f>SUM(S282:AD282)</f>
        <v>250</v>
      </c>
    </row>
    <row r="283" spans="1:31" ht="13.5" thickBot="1" x14ac:dyDescent="0.25">
      <c r="C283" s="6" t="s">
        <v>7</v>
      </c>
      <c r="S283" s="20">
        <f t="shared" ref="S283:Z283" si="79">12500+19225</f>
        <v>31725</v>
      </c>
      <c r="T283" s="20">
        <f t="shared" si="79"/>
        <v>31725</v>
      </c>
      <c r="U283" s="20">
        <f t="shared" si="79"/>
        <v>31725</v>
      </c>
      <c r="V283" s="20">
        <f t="shared" si="79"/>
        <v>31725</v>
      </c>
      <c r="W283" s="20">
        <f t="shared" si="79"/>
        <v>31725</v>
      </c>
      <c r="X283" s="20">
        <f t="shared" si="79"/>
        <v>31725</v>
      </c>
      <c r="Y283" s="20">
        <f t="shared" si="79"/>
        <v>31725</v>
      </c>
      <c r="Z283" s="20">
        <f t="shared" si="79"/>
        <v>31725</v>
      </c>
      <c r="AA283" s="20">
        <f>12916.67+18725</f>
        <v>31641.67</v>
      </c>
      <c r="AB283" s="20">
        <f>12916.67+18725</f>
        <v>31641.67</v>
      </c>
      <c r="AC283" s="20">
        <f>12916.67+18725</f>
        <v>31641.67</v>
      </c>
      <c r="AD283" s="37">
        <f>12916.67+18725</f>
        <v>31641.67</v>
      </c>
      <c r="AE283" s="9">
        <f>SUM(S283:AD283)</f>
        <v>380366.67999999993</v>
      </c>
    </row>
    <row r="284" spans="1:31" ht="13.5" thickBot="1" x14ac:dyDescent="0.25">
      <c r="C284" s="10" t="s">
        <v>93</v>
      </c>
      <c r="S284" s="11">
        <f t="shared" ref="S284:AD284" si="80">SUM(S281:S283)</f>
        <v>32427.08</v>
      </c>
      <c r="T284" s="11">
        <f t="shared" si="80"/>
        <v>32177.08</v>
      </c>
      <c r="U284" s="11">
        <f t="shared" si="80"/>
        <v>32177.08</v>
      </c>
      <c r="V284" s="11">
        <f t="shared" si="80"/>
        <v>32177.08</v>
      </c>
      <c r="W284" s="11">
        <f t="shared" si="80"/>
        <v>32177.08</v>
      </c>
      <c r="X284" s="11">
        <f t="shared" si="80"/>
        <v>32177.08</v>
      </c>
      <c r="Y284" s="11">
        <f t="shared" si="80"/>
        <v>32177.08</v>
      </c>
      <c r="Z284" s="11">
        <f t="shared" si="80"/>
        <v>32164.58</v>
      </c>
      <c r="AA284" s="11">
        <f t="shared" si="80"/>
        <v>32081.25</v>
      </c>
      <c r="AB284" s="11">
        <f t="shared" si="80"/>
        <v>32081.25</v>
      </c>
      <c r="AC284" s="11">
        <f t="shared" si="80"/>
        <v>32081.25</v>
      </c>
      <c r="AD284" s="38">
        <f t="shared" si="80"/>
        <v>32081.25</v>
      </c>
      <c r="AE284" s="11">
        <f>SUM(AE281:AE283)</f>
        <v>385979.13999999996</v>
      </c>
    </row>
    <row r="285" spans="1:31" x14ac:dyDescent="0.2">
      <c r="C285" s="12"/>
    </row>
    <row r="286" spans="1:31" ht="15.75" x14ac:dyDescent="0.25">
      <c r="A286" s="1">
        <f>A280+1</f>
        <v>37</v>
      </c>
      <c r="B286" s="18"/>
      <c r="C286" s="19" t="s">
        <v>94</v>
      </c>
    </row>
    <row r="287" spans="1:31" x14ac:dyDescent="0.2">
      <c r="C287" s="6" t="s">
        <v>5</v>
      </c>
      <c r="S287" s="20">
        <v>926.25</v>
      </c>
      <c r="T287" s="20">
        <v>926.25</v>
      </c>
      <c r="U287" s="20">
        <v>926.25</v>
      </c>
      <c r="V287" s="20">
        <v>926.25</v>
      </c>
      <c r="W287" s="20">
        <v>926.25</v>
      </c>
      <c r="X287" s="20">
        <v>926.25</v>
      </c>
      <c r="Y287" s="20">
        <v>926.25</v>
      </c>
      <c r="Z287" s="20">
        <v>914.17</v>
      </c>
      <c r="AA287" s="20">
        <v>914.17</v>
      </c>
      <c r="AB287" s="20">
        <v>914.17</v>
      </c>
      <c r="AC287" s="20">
        <v>914.17</v>
      </c>
      <c r="AD287" s="37">
        <v>890</v>
      </c>
      <c r="AE287" s="9">
        <f>SUM(S287:AD287)</f>
        <v>11030.43</v>
      </c>
    </row>
    <row r="288" spans="1:31" x14ac:dyDescent="0.2">
      <c r="C288" s="6" t="s">
        <v>6</v>
      </c>
      <c r="S288" s="20">
        <v>250</v>
      </c>
      <c r="AE288" s="9">
        <f>SUM(S288:AD288)</f>
        <v>250</v>
      </c>
    </row>
    <row r="289" spans="1:31" ht="13.5" thickBot="1" x14ac:dyDescent="0.25">
      <c r="C289" s="6" t="s">
        <v>7</v>
      </c>
      <c r="S289" s="20">
        <f t="shared" ref="S289:U289" si="81">36250+38220.83</f>
        <v>74470.83</v>
      </c>
      <c r="T289" s="20">
        <f t="shared" si="81"/>
        <v>74470.83</v>
      </c>
      <c r="U289" s="20">
        <f t="shared" si="81"/>
        <v>74470.83</v>
      </c>
      <c r="V289" s="20">
        <f>36250+38220.85</f>
        <v>74470.850000000006</v>
      </c>
      <c r="W289" s="20">
        <f>37083.33+37133.33</f>
        <v>74216.66</v>
      </c>
      <c r="X289" s="20">
        <f t="shared" ref="X289:AD289" si="82">37083.33+37133.33</f>
        <v>74216.66</v>
      </c>
      <c r="Y289" s="20">
        <f t="shared" si="82"/>
        <v>74216.66</v>
      </c>
      <c r="Z289" s="20">
        <f t="shared" si="82"/>
        <v>74216.66</v>
      </c>
      <c r="AA289" s="20">
        <f t="shared" si="82"/>
        <v>74216.66</v>
      </c>
      <c r="AB289" s="20">
        <f>37083.33+37133.35</f>
        <v>74216.679999999993</v>
      </c>
      <c r="AC289" s="20">
        <f t="shared" si="82"/>
        <v>74216.66</v>
      </c>
      <c r="AD289" s="37">
        <f t="shared" si="82"/>
        <v>74216.66</v>
      </c>
      <c r="AE289" s="9">
        <f>SUM(S289:AD289)</f>
        <v>891616.64000000013</v>
      </c>
    </row>
    <row r="290" spans="1:31" ht="13.5" thickBot="1" x14ac:dyDescent="0.25">
      <c r="C290" s="10" t="s">
        <v>95</v>
      </c>
      <c r="S290" s="11">
        <f t="shared" ref="S290:AD290" si="83">SUM(S287:S289)</f>
        <v>75647.08</v>
      </c>
      <c r="T290" s="11">
        <f t="shared" si="83"/>
        <v>75397.08</v>
      </c>
      <c r="U290" s="11">
        <f t="shared" si="83"/>
        <v>75397.08</v>
      </c>
      <c r="V290" s="11">
        <f t="shared" si="83"/>
        <v>75397.100000000006</v>
      </c>
      <c r="W290" s="11">
        <f t="shared" si="83"/>
        <v>75142.91</v>
      </c>
      <c r="X290" s="11">
        <f t="shared" si="83"/>
        <v>75142.91</v>
      </c>
      <c r="Y290" s="11">
        <f t="shared" si="83"/>
        <v>75142.91</v>
      </c>
      <c r="Z290" s="11">
        <f t="shared" si="83"/>
        <v>75130.83</v>
      </c>
      <c r="AA290" s="11">
        <f t="shared" si="83"/>
        <v>75130.83</v>
      </c>
      <c r="AB290" s="11">
        <f t="shared" si="83"/>
        <v>75130.849999999991</v>
      </c>
      <c r="AC290" s="11">
        <f t="shared" si="83"/>
        <v>75130.83</v>
      </c>
      <c r="AD290" s="38">
        <f t="shared" si="83"/>
        <v>75106.66</v>
      </c>
      <c r="AE290" s="11">
        <f>SUM(AE287:AE289)</f>
        <v>902897.07000000018</v>
      </c>
    </row>
    <row r="291" spans="1:31" x14ac:dyDescent="0.2">
      <c r="C291" s="12"/>
    </row>
    <row r="292" spans="1:31" ht="15.75" x14ac:dyDescent="0.25">
      <c r="B292" s="21" t="s">
        <v>3</v>
      </c>
      <c r="C292" s="8" t="s">
        <v>96</v>
      </c>
    </row>
    <row r="293" spans="1:31" x14ac:dyDescent="0.2">
      <c r="C293" s="6" t="s">
        <v>5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  <c r="AC293" s="9">
        <v>0</v>
      </c>
      <c r="AD293" s="25">
        <v>0</v>
      </c>
      <c r="AE293" s="9">
        <f>SUM(S293:AD293)</f>
        <v>0</v>
      </c>
    </row>
    <row r="294" spans="1:31" x14ac:dyDescent="0.2">
      <c r="C294" s="6" t="s">
        <v>6</v>
      </c>
      <c r="S294" s="20">
        <v>250</v>
      </c>
      <c r="AE294" s="9">
        <f>SUM(S294:AD294)</f>
        <v>250</v>
      </c>
    </row>
    <row r="295" spans="1:31" ht="13.5" thickBot="1" x14ac:dyDescent="0.25">
      <c r="C295" s="6" t="s">
        <v>7</v>
      </c>
      <c r="S295" s="20">
        <v>55022.92</v>
      </c>
      <c r="T295" s="20">
        <v>55022.92</v>
      </c>
      <c r="U295" s="20">
        <v>55022.92</v>
      </c>
      <c r="V295" s="20">
        <v>55022.92</v>
      </c>
      <c r="W295" s="20">
        <v>55022.92</v>
      </c>
      <c r="X295" s="20">
        <v>55022.92</v>
      </c>
      <c r="Y295" s="20">
        <v>55022.92</v>
      </c>
      <c r="Z295" s="20">
        <v>55022.92</v>
      </c>
      <c r="AA295" s="20">
        <v>55022.92</v>
      </c>
      <c r="AB295" s="20">
        <v>55022.92</v>
      </c>
      <c r="AC295" s="20">
        <v>55022.92</v>
      </c>
      <c r="AD295" s="37">
        <v>0</v>
      </c>
      <c r="AE295" s="9">
        <f>SUM(S295:AD295)</f>
        <v>605252.12</v>
      </c>
    </row>
    <row r="296" spans="1:31" ht="13.5" thickBot="1" x14ac:dyDescent="0.25">
      <c r="C296" s="10" t="s">
        <v>97</v>
      </c>
      <c r="S296" s="11">
        <f t="shared" ref="S296:AD296" si="84">SUM(S293:S295)</f>
        <v>55272.92</v>
      </c>
      <c r="T296" s="11">
        <f t="shared" si="84"/>
        <v>55022.92</v>
      </c>
      <c r="U296" s="11">
        <f t="shared" si="84"/>
        <v>55022.92</v>
      </c>
      <c r="V296" s="11">
        <f t="shared" si="84"/>
        <v>55022.92</v>
      </c>
      <c r="W296" s="11">
        <f t="shared" si="84"/>
        <v>55022.92</v>
      </c>
      <c r="X296" s="11">
        <f t="shared" si="84"/>
        <v>55022.92</v>
      </c>
      <c r="Y296" s="11">
        <f t="shared" si="84"/>
        <v>55022.92</v>
      </c>
      <c r="Z296" s="11">
        <f t="shared" si="84"/>
        <v>55022.92</v>
      </c>
      <c r="AA296" s="11">
        <f t="shared" si="84"/>
        <v>55022.92</v>
      </c>
      <c r="AB296" s="11">
        <f t="shared" si="84"/>
        <v>55022.92</v>
      </c>
      <c r="AC296" s="11">
        <f t="shared" si="84"/>
        <v>55022.92</v>
      </c>
      <c r="AD296" s="38">
        <f t="shared" si="84"/>
        <v>0</v>
      </c>
      <c r="AE296" s="11">
        <f>SUM(AE293:AE295)</f>
        <v>605502.12</v>
      </c>
    </row>
    <row r="297" spans="1:31" x14ac:dyDescent="0.2">
      <c r="C297" s="12"/>
    </row>
    <row r="298" spans="1:31" ht="15.75" x14ac:dyDescent="0.25">
      <c r="B298" s="21" t="s">
        <v>3</v>
      </c>
      <c r="C298" s="8" t="s">
        <v>98</v>
      </c>
    </row>
    <row r="299" spans="1:31" x14ac:dyDescent="0.2">
      <c r="C299" s="6" t="s">
        <v>5</v>
      </c>
    </row>
    <row r="300" spans="1:31" x14ac:dyDescent="0.2">
      <c r="C300" s="6" t="s">
        <v>6</v>
      </c>
    </row>
    <row r="301" spans="1:31" ht="13.5" thickBot="1" x14ac:dyDescent="0.25">
      <c r="C301" s="6" t="s">
        <v>7</v>
      </c>
    </row>
    <row r="302" spans="1:31" ht="13.5" thickBot="1" x14ac:dyDescent="0.25">
      <c r="C302" s="10" t="s">
        <v>99</v>
      </c>
    </row>
    <row r="303" spans="1:31" x14ac:dyDescent="0.2">
      <c r="C303" s="12"/>
    </row>
    <row r="304" spans="1:31" ht="15.75" x14ac:dyDescent="0.25">
      <c r="A304" s="1">
        <f>A286+1</f>
        <v>38</v>
      </c>
      <c r="B304" s="18"/>
      <c r="C304" s="19" t="s">
        <v>100</v>
      </c>
    </row>
    <row r="305" spans="1:31" x14ac:dyDescent="0.2">
      <c r="C305" s="6" t="s">
        <v>5</v>
      </c>
      <c r="S305" s="9">
        <v>0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  <c r="AA305" s="9">
        <v>0</v>
      </c>
      <c r="AB305" s="9">
        <v>0</v>
      </c>
      <c r="AC305" s="9">
        <v>0</v>
      </c>
      <c r="AD305" s="25">
        <v>0</v>
      </c>
      <c r="AE305" s="9">
        <f>SUM(S305:AD305)</f>
        <v>0</v>
      </c>
    </row>
    <row r="306" spans="1:31" x14ac:dyDescent="0.2">
      <c r="C306" s="6" t="s">
        <v>6</v>
      </c>
      <c r="S306" s="20">
        <v>250</v>
      </c>
      <c r="AE306" s="9">
        <f>SUM(S306:AD306)</f>
        <v>250</v>
      </c>
    </row>
    <row r="307" spans="1:31" ht="13.5" thickBot="1" x14ac:dyDescent="0.25">
      <c r="C307" s="6" t="s">
        <v>7</v>
      </c>
      <c r="S307" s="20">
        <v>42232.28</v>
      </c>
      <c r="T307" s="20">
        <v>42232.28</v>
      </c>
      <c r="U307" s="20">
        <v>42232.28</v>
      </c>
      <c r="V307" s="20">
        <v>42232.28</v>
      </c>
      <c r="W307" s="20">
        <v>42232.28</v>
      </c>
      <c r="X307" s="20">
        <v>42232.31</v>
      </c>
      <c r="Y307" s="20">
        <v>42232.28</v>
      </c>
      <c r="Z307" s="20">
        <v>42232.28</v>
      </c>
      <c r="AA307" s="20">
        <v>42232.28</v>
      </c>
      <c r="AB307" s="20">
        <v>42232.28</v>
      </c>
      <c r="AC307" s="20">
        <v>42232.28</v>
      </c>
      <c r="AD307" s="37">
        <v>42232.39</v>
      </c>
      <c r="AE307" s="9">
        <f>SUM(S307:AD307)</f>
        <v>506787.50000000012</v>
      </c>
    </row>
    <row r="308" spans="1:31" ht="13.5" thickBot="1" x14ac:dyDescent="0.25">
      <c r="C308" s="10" t="s">
        <v>101</v>
      </c>
      <c r="S308" s="11">
        <f t="shared" ref="S308:AD308" si="85">SUM(S305:S307)</f>
        <v>42482.28</v>
      </c>
      <c r="T308" s="11">
        <f t="shared" si="85"/>
        <v>42232.28</v>
      </c>
      <c r="U308" s="11">
        <f t="shared" si="85"/>
        <v>42232.28</v>
      </c>
      <c r="V308" s="11">
        <f t="shared" si="85"/>
        <v>42232.28</v>
      </c>
      <c r="W308" s="11">
        <f t="shared" si="85"/>
        <v>42232.28</v>
      </c>
      <c r="X308" s="11">
        <f t="shared" si="85"/>
        <v>42232.31</v>
      </c>
      <c r="Y308" s="11">
        <f t="shared" si="85"/>
        <v>42232.28</v>
      </c>
      <c r="Z308" s="11">
        <f t="shared" si="85"/>
        <v>42232.28</v>
      </c>
      <c r="AA308" s="11">
        <f t="shared" si="85"/>
        <v>42232.28</v>
      </c>
      <c r="AB308" s="11">
        <f t="shared" si="85"/>
        <v>42232.28</v>
      </c>
      <c r="AC308" s="11">
        <f t="shared" si="85"/>
        <v>42232.28</v>
      </c>
      <c r="AD308" s="38">
        <f t="shared" si="85"/>
        <v>42232.39</v>
      </c>
      <c r="AE308" s="11">
        <f>SUM(AE305:AE307)</f>
        <v>507037.50000000012</v>
      </c>
    </row>
    <row r="309" spans="1:31" x14ac:dyDescent="0.2">
      <c r="C309" s="12"/>
    </row>
    <row r="310" spans="1:31" ht="15.75" x14ac:dyDescent="0.25">
      <c r="A310" s="1">
        <f>A304+1</f>
        <v>39</v>
      </c>
      <c r="B310" s="18"/>
      <c r="C310" s="19" t="s">
        <v>102</v>
      </c>
    </row>
    <row r="311" spans="1:31" x14ac:dyDescent="0.2">
      <c r="C311" s="6" t="s">
        <v>5</v>
      </c>
      <c r="S311" s="9">
        <v>0</v>
      </c>
      <c r="T311" s="9">
        <v>0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  <c r="Z311" s="9">
        <v>0</v>
      </c>
      <c r="AA311" s="9">
        <v>0</v>
      </c>
      <c r="AB311" s="9">
        <v>0</v>
      </c>
      <c r="AC311" s="9">
        <v>0</v>
      </c>
      <c r="AD311" s="25">
        <v>0</v>
      </c>
      <c r="AE311" s="9">
        <f>SUM(S311:AD311)</f>
        <v>0</v>
      </c>
    </row>
    <row r="312" spans="1:31" x14ac:dyDescent="0.2">
      <c r="C312" s="6" t="s">
        <v>6</v>
      </c>
      <c r="S312" s="20">
        <v>250</v>
      </c>
      <c r="AE312" s="9">
        <f>SUM(S312:AD312)</f>
        <v>250</v>
      </c>
    </row>
    <row r="313" spans="1:31" ht="13.5" thickBot="1" x14ac:dyDescent="0.25">
      <c r="C313" s="6" t="s">
        <v>7</v>
      </c>
      <c r="S313" s="20">
        <f t="shared" ref="S313:U313" si="86">26250+103608.86</f>
        <v>129858.86</v>
      </c>
      <c r="T313" s="20">
        <f t="shared" si="86"/>
        <v>129858.86</v>
      </c>
      <c r="U313" s="20">
        <f t="shared" si="86"/>
        <v>129858.86</v>
      </c>
      <c r="V313" s="20">
        <f>27083.33+102394.79</f>
        <v>129478.12</v>
      </c>
      <c r="W313" s="20">
        <f t="shared" ref="W313:AD313" si="87">27083.33+102394.79</f>
        <v>129478.12</v>
      </c>
      <c r="X313" s="20">
        <f t="shared" si="87"/>
        <v>129478.12</v>
      </c>
      <c r="Y313" s="20">
        <f t="shared" si="87"/>
        <v>129478.12</v>
      </c>
      <c r="Z313" s="20">
        <f t="shared" si="87"/>
        <v>129478.12</v>
      </c>
      <c r="AA313" s="20">
        <f t="shared" si="87"/>
        <v>129478.12</v>
      </c>
      <c r="AB313" s="20">
        <f t="shared" si="87"/>
        <v>129478.12</v>
      </c>
      <c r="AC313" s="20">
        <f t="shared" si="87"/>
        <v>129478.12</v>
      </c>
      <c r="AD313" s="37">
        <f t="shared" si="87"/>
        <v>129478.12</v>
      </c>
      <c r="AE313" s="9">
        <f>SUM(S313:AD313)</f>
        <v>1554879.6600000001</v>
      </c>
    </row>
    <row r="314" spans="1:31" ht="13.5" thickBot="1" x14ac:dyDescent="0.25">
      <c r="C314" s="10" t="s">
        <v>103</v>
      </c>
      <c r="S314" s="11">
        <f t="shared" ref="S314:AD314" si="88">SUM(S311:S313)</f>
        <v>130108.86</v>
      </c>
      <c r="T314" s="11">
        <f t="shared" si="88"/>
        <v>129858.86</v>
      </c>
      <c r="U314" s="11">
        <f t="shared" si="88"/>
        <v>129858.86</v>
      </c>
      <c r="V314" s="11">
        <f t="shared" si="88"/>
        <v>129478.12</v>
      </c>
      <c r="W314" s="11">
        <f t="shared" si="88"/>
        <v>129478.12</v>
      </c>
      <c r="X314" s="11">
        <f t="shared" si="88"/>
        <v>129478.12</v>
      </c>
      <c r="Y314" s="11">
        <f t="shared" si="88"/>
        <v>129478.12</v>
      </c>
      <c r="Z314" s="11">
        <f t="shared" si="88"/>
        <v>129478.12</v>
      </c>
      <c r="AA314" s="11">
        <f t="shared" si="88"/>
        <v>129478.12</v>
      </c>
      <c r="AB314" s="11">
        <f t="shared" si="88"/>
        <v>129478.12</v>
      </c>
      <c r="AC314" s="11">
        <f t="shared" si="88"/>
        <v>129478.12</v>
      </c>
      <c r="AD314" s="38">
        <f t="shared" si="88"/>
        <v>129478.12</v>
      </c>
      <c r="AE314" s="11">
        <f>SUM(AE311:AE313)</f>
        <v>1555129.6600000001</v>
      </c>
    </row>
    <row r="315" spans="1:31" x14ac:dyDescent="0.2">
      <c r="C315" s="12"/>
    </row>
    <row r="316" spans="1:31" ht="15.75" x14ac:dyDescent="0.25">
      <c r="B316" s="21" t="s">
        <v>3</v>
      </c>
      <c r="C316" s="8" t="s">
        <v>104</v>
      </c>
    </row>
    <row r="317" spans="1:31" x14ac:dyDescent="0.2">
      <c r="C317" s="6" t="s">
        <v>5</v>
      </c>
      <c r="S317" s="9">
        <v>0</v>
      </c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25"/>
      <c r="AE317" s="9">
        <f>SUM(S317:AD317)</f>
        <v>0</v>
      </c>
    </row>
    <row r="318" spans="1:31" x14ac:dyDescent="0.2">
      <c r="C318" s="6" t="s">
        <v>6</v>
      </c>
      <c r="S318" s="20">
        <v>250</v>
      </c>
      <c r="AE318" s="9">
        <f>SUM(S318:AD318)</f>
        <v>250</v>
      </c>
    </row>
    <row r="319" spans="1:31" ht="13.5" thickBot="1" x14ac:dyDescent="0.25">
      <c r="C319" s="6" t="s">
        <v>7</v>
      </c>
      <c r="S319" s="20">
        <v>19770.04</v>
      </c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37"/>
      <c r="AE319" s="9">
        <f>SUM(S319:AD319)</f>
        <v>19770.04</v>
      </c>
    </row>
    <row r="320" spans="1:31" ht="13.5" thickBot="1" x14ac:dyDescent="0.25">
      <c r="C320" s="10" t="s">
        <v>105</v>
      </c>
      <c r="S320" s="11">
        <f t="shared" ref="S320:AD320" si="89">SUM(S317:S319)</f>
        <v>20020.04</v>
      </c>
      <c r="T320" s="11">
        <f t="shared" si="89"/>
        <v>0</v>
      </c>
      <c r="U320" s="11">
        <f t="shared" si="89"/>
        <v>0</v>
      </c>
      <c r="V320" s="11">
        <f t="shared" si="89"/>
        <v>0</v>
      </c>
      <c r="W320" s="11">
        <f t="shared" si="89"/>
        <v>0</v>
      </c>
      <c r="X320" s="11">
        <f t="shared" si="89"/>
        <v>0</v>
      </c>
      <c r="Y320" s="11">
        <f t="shared" si="89"/>
        <v>0</v>
      </c>
      <c r="Z320" s="11">
        <f t="shared" si="89"/>
        <v>0</v>
      </c>
      <c r="AA320" s="11">
        <f t="shared" si="89"/>
        <v>0</v>
      </c>
      <c r="AB320" s="11">
        <f t="shared" si="89"/>
        <v>0</v>
      </c>
      <c r="AC320" s="11">
        <f t="shared" si="89"/>
        <v>0</v>
      </c>
      <c r="AD320" s="38">
        <f t="shared" si="89"/>
        <v>0</v>
      </c>
      <c r="AE320" s="11">
        <f>SUM(AE317:AE319)</f>
        <v>20020.04</v>
      </c>
    </row>
    <row r="321" spans="1:31" x14ac:dyDescent="0.2">
      <c r="C321" s="12"/>
    </row>
    <row r="322" spans="1:31" ht="15.75" x14ac:dyDescent="0.25">
      <c r="A322" s="1">
        <f>A310+1</f>
        <v>40</v>
      </c>
      <c r="B322" s="18"/>
      <c r="C322" s="19" t="s">
        <v>106</v>
      </c>
    </row>
    <row r="323" spans="1:31" x14ac:dyDescent="0.2">
      <c r="C323" s="6" t="s">
        <v>5</v>
      </c>
      <c r="S323" s="20">
        <v>1487.5</v>
      </c>
      <c r="T323" s="20">
        <v>1487.5</v>
      </c>
      <c r="U323" s="20">
        <v>1487.5</v>
      </c>
      <c r="V323" s="20">
        <v>1487.5</v>
      </c>
      <c r="W323" s="20">
        <v>1487.5</v>
      </c>
      <c r="X323" s="20">
        <v>1487.5</v>
      </c>
      <c r="Y323" s="20">
        <v>1487.5</v>
      </c>
      <c r="Z323" s="20">
        <v>1487.5</v>
      </c>
      <c r="AA323" s="20">
        <v>1465.42</v>
      </c>
      <c r="AB323" s="20">
        <v>1465.42</v>
      </c>
      <c r="AC323" s="20">
        <v>1465.42</v>
      </c>
      <c r="AD323" s="37">
        <v>1465.42</v>
      </c>
      <c r="AE323" s="9">
        <f>SUM(S323:AD323)</f>
        <v>17761.68</v>
      </c>
    </row>
    <row r="324" spans="1:31" x14ac:dyDescent="0.2">
      <c r="C324" s="6" t="s">
        <v>6</v>
      </c>
      <c r="S324" s="20">
        <v>250</v>
      </c>
      <c r="AE324" s="9">
        <f>SUM(S324:AD324)</f>
        <v>250</v>
      </c>
    </row>
    <row r="325" spans="1:31" ht="13.5" thickBot="1" x14ac:dyDescent="0.25">
      <c r="C325" s="6" t="s">
        <v>7</v>
      </c>
      <c r="S325" s="20">
        <f>22083.33+72920.83</f>
        <v>95004.160000000003</v>
      </c>
      <c r="T325" s="20">
        <f t="shared" ref="T325:AA325" si="90">22083.33+72920.83</f>
        <v>95004.160000000003</v>
      </c>
      <c r="U325" s="20">
        <f t="shared" si="90"/>
        <v>95004.160000000003</v>
      </c>
      <c r="V325" s="20">
        <f t="shared" si="90"/>
        <v>95004.160000000003</v>
      </c>
      <c r="W325" s="20">
        <f t="shared" si="90"/>
        <v>95004.160000000003</v>
      </c>
      <c r="X325" s="20">
        <f t="shared" si="90"/>
        <v>95004.160000000003</v>
      </c>
      <c r="Y325" s="20">
        <f t="shared" si="90"/>
        <v>95004.160000000003</v>
      </c>
      <c r="Z325" s="20">
        <f t="shared" si="90"/>
        <v>95004.160000000003</v>
      </c>
      <c r="AA325" s="20">
        <f t="shared" si="90"/>
        <v>95004.160000000003</v>
      </c>
      <c r="AB325" s="20">
        <f>22916.67+72037.5</f>
        <v>94954.17</v>
      </c>
      <c r="AC325" s="20">
        <f>22916.67+72037.5</f>
        <v>94954.17</v>
      </c>
      <c r="AD325" s="37">
        <f>22916.67+72037.5</f>
        <v>94954.17</v>
      </c>
      <c r="AE325" s="9">
        <f>SUM(S325:AD325)</f>
        <v>1139899.9500000002</v>
      </c>
    </row>
    <row r="326" spans="1:31" ht="13.5" thickBot="1" x14ac:dyDescent="0.25">
      <c r="C326" s="10" t="s">
        <v>107</v>
      </c>
      <c r="S326" s="11">
        <f t="shared" ref="S326:AD326" si="91">SUM(S323:S325)</f>
        <v>96741.66</v>
      </c>
      <c r="T326" s="11">
        <f t="shared" si="91"/>
        <v>96491.66</v>
      </c>
      <c r="U326" s="11">
        <f t="shared" si="91"/>
        <v>96491.66</v>
      </c>
      <c r="V326" s="11">
        <f t="shared" si="91"/>
        <v>96491.66</v>
      </c>
      <c r="W326" s="11">
        <f t="shared" si="91"/>
        <v>96491.66</v>
      </c>
      <c r="X326" s="11">
        <f t="shared" si="91"/>
        <v>96491.66</v>
      </c>
      <c r="Y326" s="11">
        <f t="shared" si="91"/>
        <v>96491.66</v>
      </c>
      <c r="Z326" s="11">
        <f t="shared" si="91"/>
        <v>96491.66</v>
      </c>
      <c r="AA326" s="11">
        <f t="shared" si="91"/>
        <v>96469.58</v>
      </c>
      <c r="AB326" s="11">
        <f t="shared" si="91"/>
        <v>96419.59</v>
      </c>
      <c r="AC326" s="11">
        <f t="shared" si="91"/>
        <v>96419.59</v>
      </c>
      <c r="AD326" s="38">
        <f t="shared" si="91"/>
        <v>96419.59</v>
      </c>
      <c r="AE326" s="11">
        <f>SUM(AE323:AE325)</f>
        <v>1157911.6300000001</v>
      </c>
    </row>
    <row r="327" spans="1:31" x14ac:dyDescent="0.2">
      <c r="C327" s="12"/>
    </row>
    <row r="328" spans="1:31" ht="15.75" x14ac:dyDescent="0.25">
      <c r="A328" s="1">
        <f>A322+1</f>
        <v>41</v>
      </c>
      <c r="B328" s="18"/>
      <c r="C328" s="19" t="s">
        <v>108</v>
      </c>
    </row>
    <row r="329" spans="1:31" x14ac:dyDescent="0.2">
      <c r="C329" s="6" t="s">
        <v>5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0</v>
      </c>
      <c r="AB329" s="9">
        <v>0</v>
      </c>
      <c r="AC329" s="9">
        <v>0</v>
      </c>
      <c r="AD329" s="25">
        <v>0</v>
      </c>
      <c r="AE329" s="9">
        <f>SUM(S329:AD329)</f>
        <v>0</v>
      </c>
    </row>
    <row r="330" spans="1:31" x14ac:dyDescent="0.2">
      <c r="C330" s="6" t="s">
        <v>6</v>
      </c>
      <c r="S330" s="20">
        <v>250</v>
      </c>
      <c r="AE330" s="9">
        <f>SUM(S330:AD330)</f>
        <v>250</v>
      </c>
    </row>
    <row r="331" spans="1:31" ht="13.5" thickBot="1" x14ac:dyDescent="0.25">
      <c r="C331" s="6" t="s">
        <v>7</v>
      </c>
      <c r="S331" s="20">
        <v>51489.94</v>
      </c>
      <c r="T331" s="20">
        <v>51412.51</v>
      </c>
      <c r="U331" s="20">
        <v>51335.08</v>
      </c>
      <c r="V331" s="20">
        <v>51257.66</v>
      </c>
      <c r="W331" s="20">
        <v>51180.23</v>
      </c>
      <c r="X331" s="20">
        <v>51102.8</v>
      </c>
      <c r="Y331" s="20">
        <v>51025.37</v>
      </c>
      <c r="Z331" s="20">
        <v>50947.94</v>
      </c>
      <c r="AA331" s="20">
        <v>50871.51</v>
      </c>
      <c r="AB331" s="20">
        <v>51740.08</v>
      </c>
      <c r="AC331" s="20">
        <v>51659.39</v>
      </c>
      <c r="AD331" s="37">
        <v>51578.69</v>
      </c>
      <c r="AE331" s="9">
        <f>SUM(S331:AD331)</f>
        <v>615601.19999999995</v>
      </c>
    </row>
    <row r="332" spans="1:31" ht="13.5" thickBot="1" x14ac:dyDescent="0.25">
      <c r="C332" s="10" t="s">
        <v>109</v>
      </c>
      <c r="S332" s="11">
        <f t="shared" ref="S332:AD332" si="92">SUM(S329:S331)</f>
        <v>51739.94</v>
      </c>
      <c r="T332" s="11">
        <f t="shared" si="92"/>
        <v>51412.51</v>
      </c>
      <c r="U332" s="11">
        <f t="shared" si="92"/>
        <v>51335.08</v>
      </c>
      <c r="V332" s="11">
        <f t="shared" si="92"/>
        <v>51257.66</v>
      </c>
      <c r="W332" s="11">
        <f t="shared" si="92"/>
        <v>51180.23</v>
      </c>
      <c r="X332" s="11">
        <f t="shared" si="92"/>
        <v>51102.8</v>
      </c>
      <c r="Y332" s="11">
        <f t="shared" si="92"/>
        <v>51025.37</v>
      </c>
      <c r="Z332" s="11">
        <f t="shared" si="92"/>
        <v>50947.94</v>
      </c>
      <c r="AA332" s="11">
        <f t="shared" si="92"/>
        <v>50871.51</v>
      </c>
      <c r="AB332" s="11">
        <f t="shared" si="92"/>
        <v>51740.08</v>
      </c>
      <c r="AC332" s="11">
        <f t="shared" si="92"/>
        <v>51659.39</v>
      </c>
      <c r="AD332" s="38">
        <f t="shared" si="92"/>
        <v>51578.69</v>
      </c>
      <c r="AE332" s="11">
        <f>SUM(AE329:AE331)</f>
        <v>615851.19999999995</v>
      </c>
    </row>
    <row r="333" spans="1:31" x14ac:dyDescent="0.2">
      <c r="C333" s="12"/>
    </row>
    <row r="334" spans="1:31" ht="15.75" x14ac:dyDescent="0.25">
      <c r="B334" s="21" t="s">
        <v>3</v>
      </c>
      <c r="C334" s="8" t="s">
        <v>110</v>
      </c>
    </row>
    <row r="335" spans="1:31" x14ac:dyDescent="0.2">
      <c r="C335" s="6" t="s">
        <v>5</v>
      </c>
    </row>
    <row r="336" spans="1:31" x14ac:dyDescent="0.2">
      <c r="C336" s="6" t="s">
        <v>6</v>
      </c>
    </row>
    <row r="337" spans="1:3" ht="13.5" thickBot="1" x14ac:dyDescent="0.25">
      <c r="C337" s="6" t="s">
        <v>7</v>
      </c>
    </row>
    <row r="338" spans="1:3" ht="13.5" thickBot="1" x14ac:dyDescent="0.25">
      <c r="C338" s="10" t="s">
        <v>111</v>
      </c>
    </row>
    <row r="339" spans="1:3" x14ac:dyDescent="0.2">
      <c r="C339" s="12"/>
    </row>
    <row r="340" spans="1:3" ht="15.75" x14ac:dyDescent="0.25">
      <c r="B340" s="21" t="s">
        <v>3</v>
      </c>
      <c r="C340" s="8" t="s">
        <v>112</v>
      </c>
    </row>
    <row r="341" spans="1:3" x14ac:dyDescent="0.2">
      <c r="C341" s="6" t="s">
        <v>5</v>
      </c>
    </row>
    <row r="342" spans="1:3" x14ac:dyDescent="0.2">
      <c r="C342" s="6" t="s">
        <v>6</v>
      </c>
    </row>
    <row r="343" spans="1:3" ht="13.5" thickBot="1" x14ac:dyDescent="0.25">
      <c r="C343" s="6" t="s">
        <v>7</v>
      </c>
    </row>
    <row r="344" spans="1:3" ht="13.5" thickBot="1" x14ac:dyDescent="0.25">
      <c r="C344" s="10" t="s">
        <v>18</v>
      </c>
    </row>
    <row r="345" spans="1:3" x14ac:dyDescent="0.2">
      <c r="C345" s="12"/>
    </row>
    <row r="346" spans="1:3" ht="15.75" x14ac:dyDescent="0.25">
      <c r="B346" s="21" t="s">
        <v>3</v>
      </c>
      <c r="C346" s="8" t="s">
        <v>113</v>
      </c>
    </row>
    <row r="347" spans="1:3" x14ac:dyDescent="0.2">
      <c r="C347" s="6" t="s">
        <v>5</v>
      </c>
    </row>
    <row r="348" spans="1:3" x14ac:dyDescent="0.2">
      <c r="C348" s="6" t="s">
        <v>6</v>
      </c>
    </row>
    <row r="349" spans="1:3" ht="13.5" thickBot="1" x14ac:dyDescent="0.25">
      <c r="C349" s="6" t="s">
        <v>7</v>
      </c>
    </row>
    <row r="350" spans="1:3" ht="13.5" thickBot="1" x14ac:dyDescent="0.25">
      <c r="C350" s="10" t="s">
        <v>114</v>
      </c>
    </row>
    <row r="351" spans="1:3" x14ac:dyDescent="0.2">
      <c r="C351" s="12"/>
    </row>
    <row r="352" spans="1:3" ht="15.75" x14ac:dyDescent="0.25">
      <c r="A352" s="1">
        <f>A328+1</f>
        <v>42</v>
      </c>
      <c r="B352" s="18"/>
      <c r="C352" s="19" t="s">
        <v>115</v>
      </c>
    </row>
    <row r="353" spans="1:31" x14ac:dyDescent="0.2">
      <c r="C353" s="6" t="s">
        <v>5</v>
      </c>
      <c r="S353" s="20">
        <v>3239.58</v>
      </c>
      <c r="T353" s="20">
        <v>3239.58</v>
      </c>
      <c r="U353" s="20">
        <v>3239.58</v>
      </c>
      <c r="V353" s="20">
        <v>3239.58</v>
      </c>
      <c r="W353" s="20">
        <v>3239.58</v>
      </c>
      <c r="X353" s="20">
        <v>3239.58</v>
      </c>
      <c r="Y353" s="20">
        <v>3239.58</v>
      </c>
      <c r="Z353" s="20">
        <v>3239.58</v>
      </c>
      <c r="AA353" s="20">
        <v>3239.58</v>
      </c>
      <c r="AB353" s="20">
        <v>3239.58</v>
      </c>
      <c r="AC353" s="20">
        <v>3239.58</v>
      </c>
      <c r="AD353" s="37">
        <v>3239.58</v>
      </c>
      <c r="AE353" s="9">
        <f>SUM(S353:AD353)</f>
        <v>38874.960000000006</v>
      </c>
    </row>
    <row r="354" spans="1:31" x14ac:dyDescent="0.2">
      <c r="C354" s="6" t="s">
        <v>6</v>
      </c>
      <c r="S354" s="20">
        <v>250</v>
      </c>
      <c r="AE354" s="9">
        <f>SUM(S354:AD354)</f>
        <v>250</v>
      </c>
    </row>
    <row r="355" spans="1:31" ht="13.5" thickBot="1" x14ac:dyDescent="0.25">
      <c r="C355" s="6" t="s">
        <v>7</v>
      </c>
      <c r="S355" s="20">
        <f t="shared" ref="S355:W355" si="93">59583.33+145200</f>
        <v>204783.33000000002</v>
      </c>
      <c r="T355" s="20">
        <f t="shared" si="93"/>
        <v>204783.33000000002</v>
      </c>
      <c r="U355" s="20">
        <f t="shared" si="93"/>
        <v>204783.33000000002</v>
      </c>
      <c r="V355" s="20">
        <f t="shared" si="93"/>
        <v>204783.33000000002</v>
      </c>
      <c r="W355" s="20">
        <f t="shared" si="93"/>
        <v>204783.33000000002</v>
      </c>
      <c r="X355" s="20">
        <f>62916.67+142220.83</f>
        <v>205137.5</v>
      </c>
      <c r="Y355" s="20">
        <f t="shared" ref="Y355:AD355" si="94">62916.67+142220.83</f>
        <v>205137.5</v>
      </c>
      <c r="Z355" s="20">
        <f t="shared" si="94"/>
        <v>205137.5</v>
      </c>
      <c r="AA355" s="20">
        <f t="shared" si="94"/>
        <v>205137.5</v>
      </c>
      <c r="AB355" s="20">
        <f t="shared" si="94"/>
        <v>205137.5</v>
      </c>
      <c r="AC355" s="20">
        <f t="shared" si="94"/>
        <v>205137.5</v>
      </c>
      <c r="AD355" s="37">
        <f t="shared" si="94"/>
        <v>205137.5</v>
      </c>
      <c r="AE355" s="9">
        <f>SUM(S355:AD355)</f>
        <v>2459879.1500000004</v>
      </c>
    </row>
    <row r="356" spans="1:31" ht="13.5" thickBot="1" x14ac:dyDescent="0.25">
      <c r="C356" s="10" t="s">
        <v>116</v>
      </c>
      <c r="S356" s="11">
        <f t="shared" ref="S356:AD356" si="95">SUM(S353:S355)</f>
        <v>208272.91</v>
      </c>
      <c r="T356" s="11">
        <f t="shared" si="95"/>
        <v>208022.91</v>
      </c>
      <c r="U356" s="11">
        <f t="shared" si="95"/>
        <v>208022.91</v>
      </c>
      <c r="V356" s="11">
        <f t="shared" si="95"/>
        <v>208022.91</v>
      </c>
      <c r="W356" s="11">
        <f t="shared" si="95"/>
        <v>208022.91</v>
      </c>
      <c r="X356" s="11">
        <f t="shared" si="95"/>
        <v>208377.08</v>
      </c>
      <c r="Y356" s="11">
        <f t="shared" si="95"/>
        <v>208377.08</v>
      </c>
      <c r="Z356" s="11">
        <f t="shared" si="95"/>
        <v>208377.08</v>
      </c>
      <c r="AA356" s="11">
        <f t="shared" si="95"/>
        <v>208377.08</v>
      </c>
      <c r="AB356" s="11">
        <f t="shared" si="95"/>
        <v>208377.08</v>
      </c>
      <c r="AC356" s="11">
        <f t="shared" si="95"/>
        <v>208377.08</v>
      </c>
      <c r="AD356" s="38">
        <f t="shared" si="95"/>
        <v>208377.08</v>
      </c>
      <c r="AE356" s="11">
        <f>SUM(AE353:AE355)</f>
        <v>2499004.1100000003</v>
      </c>
    </row>
    <row r="357" spans="1:31" x14ac:dyDescent="0.2">
      <c r="C357" s="12"/>
    </row>
    <row r="358" spans="1:31" ht="15.75" x14ac:dyDescent="0.25">
      <c r="B358" s="21" t="s">
        <v>3</v>
      </c>
      <c r="C358" s="8" t="s">
        <v>117</v>
      </c>
    </row>
    <row r="359" spans="1:31" x14ac:dyDescent="0.2">
      <c r="C359" s="6" t="s">
        <v>5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/>
      <c r="Y359" s="9"/>
      <c r="Z359" s="9"/>
      <c r="AA359" s="9"/>
      <c r="AB359" s="9"/>
      <c r="AC359" s="9"/>
      <c r="AD359" s="25"/>
      <c r="AE359" s="9">
        <f>SUM(S359:AD359)</f>
        <v>0</v>
      </c>
    </row>
    <row r="360" spans="1:31" x14ac:dyDescent="0.2">
      <c r="C360" s="6" t="s">
        <v>6</v>
      </c>
      <c r="S360" s="20">
        <v>250</v>
      </c>
      <c r="AE360" s="9">
        <f>SUM(S360:AD360)</f>
        <v>250</v>
      </c>
    </row>
    <row r="361" spans="1:31" ht="13.5" thickBot="1" x14ac:dyDescent="0.25">
      <c r="C361" s="6" t="s">
        <v>7</v>
      </c>
      <c r="S361" s="20">
        <v>43511.77</v>
      </c>
      <c r="T361" s="20">
        <v>43450.05</v>
      </c>
      <c r="U361" s="20">
        <v>43596.34</v>
      </c>
      <c r="V361" s="20">
        <v>44580.93</v>
      </c>
      <c r="W361" s="20">
        <v>44014.02</v>
      </c>
      <c r="X361" s="20"/>
      <c r="Y361" s="20"/>
      <c r="Z361" s="20"/>
      <c r="AA361" s="20"/>
      <c r="AB361" s="20"/>
      <c r="AC361" s="20"/>
      <c r="AD361" s="37"/>
      <c r="AE361" s="9">
        <f>SUM(S361:AD361)</f>
        <v>219153.11</v>
      </c>
    </row>
    <row r="362" spans="1:31" ht="13.5" thickBot="1" x14ac:dyDescent="0.25">
      <c r="C362" s="10" t="s">
        <v>118</v>
      </c>
      <c r="S362" s="11">
        <f t="shared" ref="S362:AD362" si="96">SUM(S359:S361)</f>
        <v>43761.77</v>
      </c>
      <c r="T362" s="11">
        <f t="shared" si="96"/>
        <v>43450.05</v>
      </c>
      <c r="U362" s="11">
        <f t="shared" si="96"/>
        <v>43596.34</v>
      </c>
      <c r="V362" s="11">
        <f t="shared" si="96"/>
        <v>44580.93</v>
      </c>
      <c r="W362" s="11">
        <f t="shared" si="96"/>
        <v>44014.02</v>
      </c>
      <c r="X362" s="11">
        <f t="shared" si="96"/>
        <v>0</v>
      </c>
      <c r="Y362" s="11">
        <f t="shared" si="96"/>
        <v>0</v>
      </c>
      <c r="Z362" s="11">
        <f t="shared" si="96"/>
        <v>0</v>
      </c>
      <c r="AA362" s="11">
        <f t="shared" si="96"/>
        <v>0</v>
      </c>
      <c r="AB362" s="11">
        <f t="shared" si="96"/>
        <v>0</v>
      </c>
      <c r="AC362" s="11">
        <f t="shared" si="96"/>
        <v>0</v>
      </c>
      <c r="AD362" s="38">
        <f t="shared" si="96"/>
        <v>0</v>
      </c>
      <c r="AE362" s="11">
        <f>SUM(AE359:AE361)</f>
        <v>219403.11</v>
      </c>
    </row>
    <row r="363" spans="1:31" x14ac:dyDescent="0.2">
      <c r="C363" s="12"/>
    </row>
    <row r="364" spans="1:31" ht="15.75" x14ac:dyDescent="0.25">
      <c r="A364" s="1">
        <f>A352+1</f>
        <v>43</v>
      </c>
      <c r="B364" s="18"/>
      <c r="C364" s="19" t="s">
        <v>119</v>
      </c>
    </row>
    <row r="365" spans="1:31" x14ac:dyDescent="0.2">
      <c r="C365" s="6" t="s">
        <v>5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0</v>
      </c>
      <c r="AB365" s="9">
        <v>0</v>
      </c>
      <c r="AC365" s="9">
        <v>0</v>
      </c>
      <c r="AD365" s="25">
        <v>0</v>
      </c>
      <c r="AE365" s="9">
        <f>SUM(S365:AD365)</f>
        <v>0</v>
      </c>
    </row>
    <row r="366" spans="1:31" x14ac:dyDescent="0.2">
      <c r="C366" s="6" t="s">
        <v>6</v>
      </c>
      <c r="S366" s="20">
        <v>250</v>
      </c>
      <c r="AE366" s="9">
        <f>SUM(S366:AD366)</f>
        <v>250</v>
      </c>
    </row>
    <row r="367" spans="1:31" ht="13.5" thickBot="1" x14ac:dyDescent="0.25">
      <c r="C367" s="6" t="s">
        <v>7</v>
      </c>
      <c r="S367" s="9">
        <v>33982.839999999997</v>
      </c>
      <c r="T367" s="9">
        <v>33982.839999999997</v>
      </c>
      <c r="U367" s="9">
        <v>33982.839999999997</v>
      </c>
      <c r="V367" s="9">
        <v>33982.839999999997</v>
      </c>
      <c r="W367" s="9">
        <v>33982.839999999997</v>
      </c>
      <c r="X367" s="9">
        <v>33982.839999999997</v>
      </c>
      <c r="Y367" s="9">
        <v>33982.839999999997</v>
      </c>
      <c r="Z367" s="9">
        <v>33982.839999999997</v>
      </c>
      <c r="AA367" s="9">
        <v>33982.839999999997</v>
      </c>
      <c r="AB367" s="9">
        <v>33982.839999999997</v>
      </c>
      <c r="AC367" s="9">
        <v>33982.839999999997</v>
      </c>
      <c r="AD367" s="25">
        <v>33982.839999999997</v>
      </c>
      <c r="AE367" s="9">
        <f>SUM(S367:AD367)</f>
        <v>407794.07999999984</v>
      </c>
    </row>
    <row r="368" spans="1:31" ht="13.5" thickBot="1" x14ac:dyDescent="0.25">
      <c r="C368" s="10" t="s">
        <v>120</v>
      </c>
      <c r="S368" s="11">
        <f t="shared" ref="S368:AD368" si="97">SUM(S365:S367)</f>
        <v>34232.839999999997</v>
      </c>
      <c r="T368" s="11">
        <f t="shared" si="97"/>
        <v>33982.839999999997</v>
      </c>
      <c r="U368" s="11">
        <f t="shared" si="97"/>
        <v>33982.839999999997</v>
      </c>
      <c r="V368" s="11">
        <f t="shared" si="97"/>
        <v>33982.839999999997</v>
      </c>
      <c r="W368" s="11">
        <f t="shared" si="97"/>
        <v>33982.839999999997</v>
      </c>
      <c r="X368" s="11">
        <f t="shared" si="97"/>
        <v>33982.839999999997</v>
      </c>
      <c r="Y368" s="11">
        <f t="shared" si="97"/>
        <v>33982.839999999997</v>
      </c>
      <c r="Z368" s="11">
        <f t="shared" si="97"/>
        <v>33982.839999999997</v>
      </c>
      <c r="AA368" s="11">
        <f t="shared" si="97"/>
        <v>33982.839999999997</v>
      </c>
      <c r="AB368" s="11">
        <f t="shared" si="97"/>
        <v>33982.839999999997</v>
      </c>
      <c r="AC368" s="11">
        <f t="shared" si="97"/>
        <v>33982.839999999997</v>
      </c>
      <c r="AD368" s="38">
        <f t="shared" si="97"/>
        <v>33982.839999999997</v>
      </c>
      <c r="AE368" s="11">
        <f>SUM(AE365:AE367)</f>
        <v>408044.07999999984</v>
      </c>
    </row>
    <row r="369" spans="1:31" x14ac:dyDescent="0.2">
      <c r="C369" s="12"/>
    </row>
    <row r="370" spans="1:31" ht="15.75" x14ac:dyDescent="0.25">
      <c r="A370" s="1">
        <f>A364+1</f>
        <v>44</v>
      </c>
      <c r="B370" s="18"/>
      <c r="C370" s="19" t="s">
        <v>121</v>
      </c>
    </row>
    <row r="371" spans="1:31" x14ac:dyDescent="0.2">
      <c r="C371" s="6" t="s">
        <v>5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0</v>
      </c>
      <c r="AB371" s="9">
        <v>0</v>
      </c>
      <c r="AC371" s="9">
        <v>0</v>
      </c>
      <c r="AD371" s="25">
        <v>0</v>
      </c>
      <c r="AE371" s="9">
        <f>SUM(S371:AD371)</f>
        <v>0</v>
      </c>
    </row>
    <row r="372" spans="1:31" x14ac:dyDescent="0.2">
      <c r="C372" s="6" t="s">
        <v>6</v>
      </c>
      <c r="S372" s="20">
        <v>250</v>
      </c>
      <c r="AE372" s="9">
        <f>SUM(S372:AD372)</f>
        <v>250</v>
      </c>
    </row>
    <row r="373" spans="1:31" ht="13.5" thickBot="1" x14ac:dyDescent="0.25">
      <c r="C373" s="6" t="s">
        <v>7</v>
      </c>
      <c r="S373" s="20">
        <f>36666.67+75037.5</f>
        <v>111704.17</v>
      </c>
      <c r="T373" s="20">
        <f>36666.66+75037.5</f>
        <v>111704.16</v>
      </c>
      <c r="U373" s="20">
        <f>36666.67+74638.75</f>
        <v>111305.42</v>
      </c>
      <c r="V373" s="20">
        <f>36666.67+74638.75</f>
        <v>111305.42</v>
      </c>
      <c r="W373" s="20">
        <f>36666.66+74638.75</f>
        <v>111305.41</v>
      </c>
      <c r="X373" s="20">
        <f>36666.67+74240</f>
        <v>110906.67</v>
      </c>
      <c r="Y373" s="20">
        <f>36666.67+74240</f>
        <v>110906.67</v>
      </c>
      <c r="Z373" s="20">
        <f>36666.66+74240.01</f>
        <v>110906.67</v>
      </c>
      <c r="AA373" s="20">
        <f>36666.67+73841.25</f>
        <v>110507.92</v>
      </c>
      <c r="AB373" s="20">
        <f>36666.67+73841.25</f>
        <v>110507.92</v>
      </c>
      <c r="AC373" s="20">
        <f>36666.66+73841.25</f>
        <v>110507.91</v>
      </c>
      <c r="AD373" s="37">
        <f>38333.33+73442.5</f>
        <v>111775.83</v>
      </c>
      <c r="AE373" s="9">
        <f>SUM(S373:AD373)</f>
        <v>1333344.1700000002</v>
      </c>
    </row>
    <row r="374" spans="1:31" ht="13.5" thickBot="1" x14ac:dyDescent="0.25">
      <c r="C374" s="10" t="s">
        <v>122</v>
      </c>
      <c r="S374" s="11">
        <f t="shared" ref="S374:AD374" si="98">SUM(S371:S373)</f>
        <v>111954.17</v>
      </c>
      <c r="T374" s="11">
        <f t="shared" si="98"/>
        <v>111704.16</v>
      </c>
      <c r="U374" s="11">
        <f t="shared" si="98"/>
        <v>111305.42</v>
      </c>
      <c r="V374" s="11">
        <f t="shared" si="98"/>
        <v>111305.42</v>
      </c>
      <c r="W374" s="11">
        <f t="shared" si="98"/>
        <v>111305.41</v>
      </c>
      <c r="X374" s="11">
        <f t="shared" si="98"/>
        <v>110906.67</v>
      </c>
      <c r="Y374" s="11">
        <f t="shared" si="98"/>
        <v>110906.67</v>
      </c>
      <c r="Z374" s="11">
        <f t="shared" si="98"/>
        <v>110906.67</v>
      </c>
      <c r="AA374" s="11">
        <f t="shared" si="98"/>
        <v>110507.92</v>
      </c>
      <c r="AB374" s="11">
        <f t="shared" si="98"/>
        <v>110507.92</v>
      </c>
      <c r="AC374" s="11">
        <f t="shared" si="98"/>
        <v>110507.91</v>
      </c>
      <c r="AD374" s="38">
        <f t="shared" si="98"/>
        <v>111775.83</v>
      </c>
      <c r="AE374" s="11">
        <f>SUM(AE371:AE373)</f>
        <v>1333594.1700000002</v>
      </c>
    </row>
    <row r="375" spans="1:31" x14ac:dyDescent="0.2">
      <c r="C375" s="12"/>
    </row>
    <row r="376" spans="1:31" ht="15.75" x14ac:dyDescent="0.25">
      <c r="A376" s="1">
        <f>A370+1</f>
        <v>45</v>
      </c>
      <c r="B376" s="18"/>
      <c r="C376" s="19" t="s">
        <v>123</v>
      </c>
    </row>
    <row r="377" spans="1:31" x14ac:dyDescent="0.2">
      <c r="C377" s="6" t="s">
        <v>5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v>0</v>
      </c>
      <c r="AC377" s="9">
        <v>0</v>
      </c>
      <c r="AD377" s="25">
        <v>0</v>
      </c>
      <c r="AE377" s="9">
        <f>SUM(S377:AD377)</f>
        <v>0</v>
      </c>
    </row>
    <row r="378" spans="1:31" x14ac:dyDescent="0.2">
      <c r="C378" s="6" t="s">
        <v>6</v>
      </c>
      <c r="S378" s="20">
        <v>250</v>
      </c>
      <c r="AE378" s="9">
        <f>SUM(S378:AD378)</f>
        <v>250</v>
      </c>
    </row>
    <row r="379" spans="1:31" ht="13.5" thickBot="1" x14ac:dyDescent="0.25">
      <c r="C379" s="6" t="s">
        <v>7</v>
      </c>
      <c r="S379" s="9">
        <v>52815.46</v>
      </c>
      <c r="T379" s="9">
        <v>52815.46</v>
      </c>
      <c r="U379" s="9">
        <v>52815.46</v>
      </c>
      <c r="V379" s="9">
        <v>52815.46</v>
      </c>
      <c r="W379" s="9">
        <v>52815.46</v>
      </c>
      <c r="X379" s="9">
        <v>52815.46</v>
      </c>
      <c r="Y379" s="9">
        <v>52815.46</v>
      </c>
      <c r="Z379" s="9">
        <v>52815.46</v>
      </c>
      <c r="AA379" s="9">
        <v>52815.46</v>
      </c>
      <c r="AB379" s="9">
        <v>52815.46</v>
      </c>
      <c r="AC379" s="9">
        <v>52815.46</v>
      </c>
      <c r="AD379" s="25">
        <v>52815.46</v>
      </c>
      <c r="AE379" s="9">
        <f>SUM(S379:AD379)</f>
        <v>633785.52</v>
      </c>
    </row>
    <row r="380" spans="1:31" ht="13.5" thickBot="1" x14ac:dyDescent="0.25">
      <c r="C380" s="10" t="s">
        <v>124</v>
      </c>
      <c r="S380" s="11">
        <f t="shared" ref="S380:AD380" si="99">SUM(S377:S379)</f>
        <v>53065.46</v>
      </c>
      <c r="T380" s="11">
        <f t="shared" si="99"/>
        <v>52815.46</v>
      </c>
      <c r="U380" s="11">
        <f t="shared" si="99"/>
        <v>52815.46</v>
      </c>
      <c r="V380" s="11">
        <f t="shared" si="99"/>
        <v>52815.46</v>
      </c>
      <c r="W380" s="11">
        <f t="shared" si="99"/>
        <v>52815.46</v>
      </c>
      <c r="X380" s="11">
        <f t="shared" si="99"/>
        <v>52815.46</v>
      </c>
      <c r="Y380" s="11">
        <f t="shared" si="99"/>
        <v>52815.46</v>
      </c>
      <c r="Z380" s="11">
        <f t="shared" si="99"/>
        <v>52815.46</v>
      </c>
      <c r="AA380" s="11">
        <f t="shared" si="99"/>
        <v>52815.46</v>
      </c>
      <c r="AB380" s="11">
        <f t="shared" si="99"/>
        <v>52815.46</v>
      </c>
      <c r="AC380" s="11">
        <f t="shared" si="99"/>
        <v>52815.46</v>
      </c>
      <c r="AD380" s="38">
        <f t="shared" si="99"/>
        <v>52815.46</v>
      </c>
      <c r="AE380" s="11">
        <f>SUM(AE377:AE379)</f>
        <v>634035.52</v>
      </c>
    </row>
    <row r="381" spans="1:31" x14ac:dyDescent="0.2">
      <c r="C381" s="12"/>
    </row>
    <row r="382" spans="1:31" ht="15.75" x14ac:dyDescent="0.25">
      <c r="B382" s="21" t="s">
        <v>3</v>
      </c>
      <c r="C382" s="8" t="s">
        <v>125</v>
      </c>
    </row>
    <row r="383" spans="1:31" x14ac:dyDescent="0.2">
      <c r="C383" s="6" t="s">
        <v>5</v>
      </c>
    </row>
    <row r="384" spans="1:31" x14ac:dyDescent="0.2">
      <c r="C384" s="6" t="s">
        <v>6</v>
      </c>
    </row>
    <row r="385" spans="2:3" ht="13.5" thickBot="1" x14ac:dyDescent="0.25">
      <c r="C385" s="6" t="s">
        <v>7</v>
      </c>
    </row>
    <row r="386" spans="2:3" ht="13.5" thickBot="1" x14ac:dyDescent="0.25">
      <c r="C386" s="10" t="s">
        <v>126</v>
      </c>
    </row>
    <row r="387" spans="2:3" x14ac:dyDescent="0.2">
      <c r="C387" s="12"/>
    </row>
    <row r="388" spans="2:3" ht="15.75" x14ac:dyDescent="0.25">
      <c r="B388" s="21" t="s">
        <v>3</v>
      </c>
      <c r="C388" s="8" t="s">
        <v>127</v>
      </c>
    </row>
    <row r="389" spans="2:3" x14ac:dyDescent="0.2">
      <c r="C389" s="6" t="s">
        <v>5</v>
      </c>
    </row>
    <row r="390" spans="2:3" x14ac:dyDescent="0.2">
      <c r="C390" s="6" t="s">
        <v>6</v>
      </c>
    </row>
    <row r="391" spans="2:3" ht="13.5" thickBot="1" x14ac:dyDescent="0.25">
      <c r="C391" s="6" t="s">
        <v>7</v>
      </c>
    </row>
    <row r="392" spans="2:3" ht="13.5" thickBot="1" x14ac:dyDescent="0.25">
      <c r="C392" s="10" t="s">
        <v>128</v>
      </c>
    </row>
    <row r="393" spans="2:3" x14ac:dyDescent="0.2">
      <c r="C393" s="12"/>
    </row>
    <row r="394" spans="2:3" ht="15.75" x14ac:dyDescent="0.25">
      <c r="B394" s="21" t="s">
        <v>3</v>
      </c>
      <c r="C394" s="8" t="s">
        <v>129</v>
      </c>
    </row>
    <row r="395" spans="2:3" x14ac:dyDescent="0.2">
      <c r="C395" s="6" t="s">
        <v>5</v>
      </c>
    </row>
    <row r="396" spans="2:3" x14ac:dyDescent="0.2">
      <c r="C396" s="6" t="s">
        <v>6</v>
      </c>
    </row>
    <row r="397" spans="2:3" ht="13.5" thickBot="1" x14ac:dyDescent="0.25">
      <c r="C397" s="6" t="s">
        <v>7</v>
      </c>
    </row>
    <row r="398" spans="2:3" ht="13.5" thickBot="1" x14ac:dyDescent="0.25">
      <c r="C398" s="10" t="s">
        <v>128</v>
      </c>
    </row>
    <row r="399" spans="2:3" x14ac:dyDescent="0.2">
      <c r="C399" s="12"/>
    </row>
    <row r="400" spans="2:3" ht="15.75" x14ac:dyDescent="0.25">
      <c r="B400" s="21" t="s">
        <v>3</v>
      </c>
      <c r="C400" s="8" t="s">
        <v>130</v>
      </c>
    </row>
    <row r="401" spans="1:31" x14ac:dyDescent="0.2">
      <c r="C401" s="6" t="s">
        <v>5</v>
      </c>
    </row>
    <row r="402" spans="1:31" x14ac:dyDescent="0.2">
      <c r="C402" s="6" t="s">
        <v>6</v>
      </c>
    </row>
    <row r="403" spans="1:31" ht="13.5" thickBot="1" x14ac:dyDescent="0.25">
      <c r="C403" s="6" t="s">
        <v>7</v>
      </c>
    </row>
    <row r="404" spans="1:31" ht="13.5" thickBot="1" x14ac:dyDescent="0.25">
      <c r="C404" s="10" t="s">
        <v>131</v>
      </c>
    </row>
    <row r="405" spans="1:31" x14ac:dyDescent="0.2">
      <c r="C405" s="12"/>
    </row>
    <row r="406" spans="1:31" ht="15.75" x14ac:dyDescent="0.25">
      <c r="B406" s="21" t="s">
        <v>3</v>
      </c>
      <c r="C406" s="8" t="s">
        <v>132</v>
      </c>
    </row>
    <row r="407" spans="1:31" x14ac:dyDescent="0.2">
      <c r="C407" s="6" t="s">
        <v>5</v>
      </c>
    </row>
    <row r="408" spans="1:31" x14ac:dyDescent="0.2">
      <c r="C408" s="6" t="s">
        <v>6</v>
      </c>
    </row>
    <row r="409" spans="1:31" ht="13.5" thickBot="1" x14ac:dyDescent="0.25">
      <c r="C409" s="6" t="s">
        <v>7</v>
      </c>
    </row>
    <row r="410" spans="1:31" ht="13.5" thickBot="1" x14ac:dyDescent="0.25">
      <c r="C410" s="10" t="s">
        <v>131</v>
      </c>
    </row>
    <row r="411" spans="1:31" x14ac:dyDescent="0.2">
      <c r="C411" s="12"/>
    </row>
    <row r="412" spans="1:31" ht="15.75" x14ac:dyDescent="0.25">
      <c r="A412" s="1">
        <f>A376+1</f>
        <v>46</v>
      </c>
      <c r="B412" s="18"/>
      <c r="C412" s="19" t="s">
        <v>133</v>
      </c>
    </row>
    <row r="413" spans="1:31" x14ac:dyDescent="0.2">
      <c r="C413" s="6" t="s">
        <v>5</v>
      </c>
      <c r="S413" s="20">
        <v>835.42</v>
      </c>
      <c r="T413" s="20">
        <v>835.42</v>
      </c>
      <c r="U413" s="20">
        <v>835.42</v>
      </c>
      <c r="V413" s="20">
        <v>835.42</v>
      </c>
      <c r="W413" s="20">
        <v>835.42</v>
      </c>
      <c r="X413" s="20">
        <v>835.42</v>
      </c>
      <c r="Y413" s="20">
        <v>835.42</v>
      </c>
      <c r="Z413" s="20">
        <v>835.42</v>
      </c>
      <c r="AA413" s="20">
        <v>835.42</v>
      </c>
      <c r="AB413" s="20">
        <v>835.42</v>
      </c>
      <c r="AC413" s="20">
        <v>835.42</v>
      </c>
      <c r="AD413" s="37">
        <v>835.42</v>
      </c>
      <c r="AE413" s="9">
        <f>SUM(S413:AD413)</f>
        <v>10025.039999999999</v>
      </c>
    </row>
    <row r="414" spans="1:31" x14ac:dyDescent="0.2">
      <c r="C414" s="6" t="s">
        <v>6</v>
      </c>
      <c r="S414" s="20">
        <v>250</v>
      </c>
      <c r="AE414" s="9">
        <f>SUM(S414:AD414)</f>
        <v>250</v>
      </c>
    </row>
    <row r="415" spans="1:31" ht="13.5" thickBot="1" x14ac:dyDescent="0.25">
      <c r="C415" s="6" t="s">
        <v>7</v>
      </c>
      <c r="S415" s="20">
        <v>50910.42</v>
      </c>
      <c r="T415" s="20">
        <v>50910.42</v>
      </c>
      <c r="U415" s="20">
        <v>50910.42</v>
      </c>
      <c r="V415" s="20">
        <v>50910.42</v>
      </c>
      <c r="W415" s="20">
        <v>50910.42</v>
      </c>
      <c r="X415" s="20">
        <v>50910.42</v>
      </c>
      <c r="Y415" s="20">
        <v>50910.42</v>
      </c>
      <c r="Z415" s="20">
        <v>50910.42</v>
      </c>
      <c r="AA415" s="20">
        <v>50910.42</v>
      </c>
      <c r="AB415" s="20">
        <v>50910.42</v>
      </c>
      <c r="AC415" s="20">
        <v>50910.42</v>
      </c>
      <c r="AD415" s="37">
        <v>50827.09</v>
      </c>
      <c r="AE415" s="9">
        <f>SUM(S415:AD415)</f>
        <v>610841.70999999985</v>
      </c>
    </row>
    <row r="416" spans="1:31" ht="13.5" thickBot="1" x14ac:dyDescent="0.25">
      <c r="C416" s="10" t="s">
        <v>134</v>
      </c>
      <c r="S416" s="11">
        <f t="shared" ref="S416:AD416" si="100">SUM(S413:S415)</f>
        <v>51995.839999999997</v>
      </c>
      <c r="T416" s="11">
        <f t="shared" si="100"/>
        <v>51745.84</v>
      </c>
      <c r="U416" s="11">
        <f t="shared" si="100"/>
        <v>51745.84</v>
      </c>
      <c r="V416" s="11">
        <f t="shared" si="100"/>
        <v>51745.84</v>
      </c>
      <c r="W416" s="11">
        <f t="shared" si="100"/>
        <v>51745.84</v>
      </c>
      <c r="X416" s="11">
        <f t="shared" si="100"/>
        <v>51745.84</v>
      </c>
      <c r="Y416" s="11">
        <f t="shared" si="100"/>
        <v>51745.84</v>
      </c>
      <c r="Z416" s="11">
        <f t="shared" si="100"/>
        <v>51745.84</v>
      </c>
      <c r="AA416" s="11">
        <f t="shared" si="100"/>
        <v>51745.84</v>
      </c>
      <c r="AB416" s="11">
        <f t="shared" si="100"/>
        <v>51745.84</v>
      </c>
      <c r="AC416" s="11">
        <f t="shared" si="100"/>
        <v>51745.84</v>
      </c>
      <c r="AD416" s="38">
        <f t="shared" si="100"/>
        <v>51662.509999999995</v>
      </c>
      <c r="AE416" s="11">
        <f>SUM(AE413:AE415)</f>
        <v>621116.74999999988</v>
      </c>
    </row>
    <row r="417" spans="1:31" x14ac:dyDescent="0.2">
      <c r="C417" s="12"/>
    </row>
    <row r="418" spans="1:31" ht="15.75" x14ac:dyDescent="0.25">
      <c r="A418" s="1">
        <f>A412+1</f>
        <v>47</v>
      </c>
      <c r="B418" s="18"/>
      <c r="C418" s="19" t="s">
        <v>135</v>
      </c>
    </row>
    <row r="419" spans="1:31" x14ac:dyDescent="0.2">
      <c r="C419" s="6" t="s">
        <v>5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25">
        <v>0</v>
      </c>
      <c r="AE419" s="9">
        <f>SUM(S419:AD419)</f>
        <v>0</v>
      </c>
    </row>
    <row r="420" spans="1:31" x14ac:dyDescent="0.2">
      <c r="C420" s="6" t="s">
        <v>6</v>
      </c>
      <c r="S420" s="20">
        <v>250</v>
      </c>
      <c r="AE420" s="9">
        <f>SUM(S420:AD420)</f>
        <v>250</v>
      </c>
    </row>
    <row r="421" spans="1:31" ht="13.5" thickBot="1" x14ac:dyDescent="0.25">
      <c r="C421" s="6" t="s">
        <v>7</v>
      </c>
      <c r="S421" s="20">
        <v>30757.94</v>
      </c>
      <c r="T421" s="20">
        <v>30715.7</v>
      </c>
      <c r="U421" s="20">
        <v>30673.45</v>
      </c>
      <c r="V421" s="20">
        <v>30631.21</v>
      </c>
      <c r="W421" s="20">
        <v>30588.97</v>
      </c>
      <c r="X421" s="20">
        <v>30546.73</v>
      </c>
      <c r="Y421" s="20">
        <v>30504.49</v>
      </c>
      <c r="Z421" s="20">
        <v>30462.240000000002</v>
      </c>
      <c r="AA421" s="20">
        <v>30420</v>
      </c>
      <c r="AB421" s="20">
        <v>30377.759999999998</v>
      </c>
      <c r="AC421" s="20">
        <v>30335.52</v>
      </c>
      <c r="AD421" s="37">
        <v>30301.279999999999</v>
      </c>
      <c r="AE421" s="9">
        <f>SUM(S421:AD421)</f>
        <v>366315.29000000004</v>
      </c>
    </row>
    <row r="422" spans="1:31" ht="13.5" thickBot="1" x14ac:dyDescent="0.25">
      <c r="C422" s="10" t="s">
        <v>136</v>
      </c>
      <c r="S422" s="11">
        <f t="shared" ref="S422:AD422" si="101">SUM(S419:S421)</f>
        <v>31007.94</v>
      </c>
      <c r="T422" s="11">
        <f t="shared" si="101"/>
        <v>30715.7</v>
      </c>
      <c r="U422" s="11">
        <f t="shared" si="101"/>
        <v>30673.45</v>
      </c>
      <c r="V422" s="11">
        <f t="shared" si="101"/>
        <v>30631.21</v>
      </c>
      <c r="W422" s="11">
        <f t="shared" si="101"/>
        <v>30588.97</v>
      </c>
      <c r="X422" s="11">
        <f t="shared" si="101"/>
        <v>30546.73</v>
      </c>
      <c r="Y422" s="11">
        <f t="shared" si="101"/>
        <v>30504.49</v>
      </c>
      <c r="Z422" s="11">
        <f t="shared" si="101"/>
        <v>30462.240000000002</v>
      </c>
      <c r="AA422" s="11">
        <f t="shared" si="101"/>
        <v>30420</v>
      </c>
      <c r="AB422" s="11">
        <f t="shared" si="101"/>
        <v>30377.759999999998</v>
      </c>
      <c r="AC422" s="11">
        <f t="shared" si="101"/>
        <v>30335.52</v>
      </c>
      <c r="AD422" s="38">
        <f t="shared" si="101"/>
        <v>30301.279999999999</v>
      </c>
      <c r="AE422" s="11">
        <f>SUM(AE419:AE421)</f>
        <v>366565.29000000004</v>
      </c>
    </row>
    <row r="423" spans="1:31" x14ac:dyDescent="0.2">
      <c r="C423" s="12"/>
    </row>
    <row r="424" spans="1:31" ht="15.75" x14ac:dyDescent="0.25">
      <c r="A424" s="1">
        <f>A418+1</f>
        <v>48</v>
      </c>
      <c r="B424" s="18"/>
      <c r="C424" s="19" t="s">
        <v>137</v>
      </c>
    </row>
    <row r="425" spans="1:31" x14ac:dyDescent="0.2">
      <c r="C425" s="6" t="s">
        <v>5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v>0</v>
      </c>
      <c r="AC425" s="9">
        <v>0</v>
      </c>
      <c r="AD425" s="25">
        <v>0</v>
      </c>
      <c r="AE425" s="9">
        <f>SUM(S425:AD425)</f>
        <v>0</v>
      </c>
    </row>
    <row r="426" spans="1:31" x14ac:dyDescent="0.2">
      <c r="C426" s="6" t="s">
        <v>6</v>
      </c>
      <c r="S426" s="20">
        <v>250</v>
      </c>
      <c r="AE426" s="9">
        <f>SUM(S426:AD426)</f>
        <v>250</v>
      </c>
    </row>
    <row r="427" spans="1:31" ht="13.5" thickBot="1" x14ac:dyDescent="0.25">
      <c r="C427" s="6" t="s">
        <v>7</v>
      </c>
      <c r="S427" s="20">
        <f t="shared" ref="S427:AB427" si="102">31666.67+120953.13</f>
        <v>152619.79999999999</v>
      </c>
      <c r="T427" s="20">
        <f t="shared" si="102"/>
        <v>152619.79999999999</v>
      </c>
      <c r="U427" s="20">
        <f t="shared" si="102"/>
        <v>152619.79999999999</v>
      </c>
      <c r="V427" s="20">
        <f t="shared" si="102"/>
        <v>152619.79999999999</v>
      </c>
      <c r="W427" s="20">
        <f>31666.67+120953.1</f>
        <v>152619.77000000002</v>
      </c>
      <c r="X427" s="20">
        <f t="shared" si="102"/>
        <v>152619.79999999999</v>
      </c>
      <c r="Y427" s="20">
        <f t="shared" si="102"/>
        <v>152619.79999999999</v>
      </c>
      <c r="Z427" s="20">
        <f t="shared" si="102"/>
        <v>152619.79999999999</v>
      </c>
      <c r="AA427" s="20">
        <f t="shared" si="102"/>
        <v>152619.79999999999</v>
      </c>
      <c r="AB427" s="20">
        <f t="shared" si="102"/>
        <v>152619.79999999999</v>
      </c>
      <c r="AC427" s="20">
        <f>31666.63+120953.1</f>
        <v>152619.73000000001</v>
      </c>
      <c r="AD427" s="37">
        <f>33750+119041.67</f>
        <v>152791.66999999998</v>
      </c>
      <c r="AE427" s="9">
        <f>SUM(S427:AD427)</f>
        <v>1831609.37</v>
      </c>
    </row>
    <row r="428" spans="1:31" ht="13.5" thickBot="1" x14ac:dyDescent="0.25">
      <c r="C428" s="10" t="s">
        <v>138</v>
      </c>
      <c r="S428" s="11">
        <f t="shared" ref="S428:AD428" si="103">SUM(S425:S427)</f>
        <v>152869.79999999999</v>
      </c>
      <c r="T428" s="11">
        <f t="shared" si="103"/>
        <v>152619.79999999999</v>
      </c>
      <c r="U428" s="11">
        <f t="shared" si="103"/>
        <v>152619.79999999999</v>
      </c>
      <c r="V428" s="11">
        <f t="shared" si="103"/>
        <v>152619.79999999999</v>
      </c>
      <c r="W428" s="11">
        <f t="shared" si="103"/>
        <v>152619.77000000002</v>
      </c>
      <c r="X428" s="11">
        <f t="shared" si="103"/>
        <v>152619.79999999999</v>
      </c>
      <c r="Y428" s="11">
        <f t="shared" si="103"/>
        <v>152619.79999999999</v>
      </c>
      <c r="Z428" s="11">
        <f t="shared" si="103"/>
        <v>152619.79999999999</v>
      </c>
      <c r="AA428" s="11">
        <f t="shared" si="103"/>
        <v>152619.79999999999</v>
      </c>
      <c r="AB428" s="11">
        <f t="shared" si="103"/>
        <v>152619.79999999999</v>
      </c>
      <c r="AC428" s="11">
        <f t="shared" si="103"/>
        <v>152619.73000000001</v>
      </c>
      <c r="AD428" s="38">
        <f t="shared" si="103"/>
        <v>152791.66999999998</v>
      </c>
      <c r="AE428" s="11">
        <f>SUM(AE425:AE427)</f>
        <v>1831859.37</v>
      </c>
    </row>
    <row r="429" spans="1:31" x14ac:dyDescent="0.2">
      <c r="C429" s="12"/>
    </row>
    <row r="430" spans="1:31" ht="15.75" x14ac:dyDescent="0.25">
      <c r="A430" s="1">
        <f>A424+1</f>
        <v>49</v>
      </c>
      <c r="B430" s="23" t="s">
        <v>139</v>
      </c>
      <c r="C430" s="19" t="s">
        <v>140</v>
      </c>
    </row>
    <row r="431" spans="1:31" x14ac:dyDescent="0.2">
      <c r="C431" s="6" t="s">
        <v>5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  <c r="Z431" s="9">
        <v>0</v>
      </c>
      <c r="AA431" s="9">
        <v>0</v>
      </c>
      <c r="AB431" s="9">
        <v>0</v>
      </c>
      <c r="AC431" s="9">
        <v>0</v>
      </c>
      <c r="AD431" s="25">
        <v>0</v>
      </c>
      <c r="AE431" s="9">
        <f>SUM(S431:AD431)</f>
        <v>0</v>
      </c>
    </row>
    <row r="432" spans="1:31" x14ac:dyDescent="0.2">
      <c r="C432" s="6" t="s">
        <v>6</v>
      </c>
      <c r="S432" s="20">
        <v>74.33</v>
      </c>
      <c r="AE432" s="9">
        <f>SUM(S432:AD432)</f>
        <v>74.33</v>
      </c>
    </row>
    <row r="433" spans="1:31" ht="13.5" thickBot="1" x14ac:dyDescent="0.25">
      <c r="C433" s="6" t="s">
        <v>7</v>
      </c>
      <c r="S433" s="9">
        <v>25701.8</v>
      </c>
      <c r="T433" s="9">
        <v>25701.8</v>
      </c>
      <c r="U433" s="9">
        <v>20838.75</v>
      </c>
      <c r="V433" s="9">
        <v>20838.75</v>
      </c>
      <c r="W433" s="9">
        <v>20838.740000000002</v>
      </c>
      <c r="X433" s="9">
        <v>20838.75</v>
      </c>
      <c r="Y433" s="9">
        <v>20838.75</v>
      </c>
      <c r="Z433" s="9">
        <v>20838.150000000001</v>
      </c>
      <c r="AA433" s="9">
        <v>20838.740000000002</v>
      </c>
      <c r="AB433" s="9">
        <v>20838.740000000002</v>
      </c>
      <c r="AC433" s="9">
        <v>20838.75</v>
      </c>
      <c r="AD433" s="25">
        <v>20838.740000000002</v>
      </c>
      <c r="AE433" s="9">
        <f>SUM(S433:AD433)</f>
        <v>259790.46</v>
      </c>
    </row>
    <row r="434" spans="1:31" ht="13.5" thickBot="1" x14ac:dyDescent="0.25">
      <c r="C434" s="10" t="s">
        <v>141</v>
      </c>
      <c r="S434" s="11">
        <f t="shared" ref="S434:AD434" si="104">SUM(S431:S433)</f>
        <v>25776.13</v>
      </c>
      <c r="T434" s="11">
        <f t="shared" si="104"/>
        <v>25701.8</v>
      </c>
      <c r="U434" s="11">
        <f t="shared" si="104"/>
        <v>20838.75</v>
      </c>
      <c r="V434" s="11">
        <f t="shared" si="104"/>
        <v>20838.75</v>
      </c>
      <c r="W434" s="11">
        <f t="shared" si="104"/>
        <v>20838.740000000002</v>
      </c>
      <c r="X434" s="11">
        <f t="shared" si="104"/>
        <v>20838.75</v>
      </c>
      <c r="Y434" s="11">
        <f t="shared" si="104"/>
        <v>20838.75</v>
      </c>
      <c r="Z434" s="11">
        <f t="shared" si="104"/>
        <v>20838.150000000001</v>
      </c>
      <c r="AA434" s="11">
        <f t="shared" si="104"/>
        <v>20838.740000000002</v>
      </c>
      <c r="AB434" s="11">
        <f t="shared" si="104"/>
        <v>20838.740000000002</v>
      </c>
      <c r="AC434" s="11">
        <f t="shared" si="104"/>
        <v>20838.75</v>
      </c>
      <c r="AD434" s="38">
        <f t="shared" si="104"/>
        <v>20838.740000000002</v>
      </c>
      <c r="AE434" s="11">
        <f>SUM(AE431:AE433)</f>
        <v>259864.78999999998</v>
      </c>
    </row>
    <row r="435" spans="1:31" x14ac:dyDescent="0.2">
      <c r="C435" s="12"/>
    </row>
    <row r="436" spans="1:31" ht="15.75" x14ac:dyDescent="0.25">
      <c r="A436" s="1">
        <f>A430</f>
        <v>49</v>
      </c>
      <c r="B436" s="23" t="s">
        <v>142</v>
      </c>
      <c r="C436" s="19" t="s">
        <v>143</v>
      </c>
    </row>
    <row r="437" spans="1:31" x14ac:dyDescent="0.2">
      <c r="C437" s="6" t="s">
        <v>5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  <c r="Z437" s="9">
        <v>0</v>
      </c>
      <c r="AA437" s="9">
        <v>0</v>
      </c>
      <c r="AB437" s="9">
        <v>0</v>
      </c>
      <c r="AC437" s="9">
        <v>0</v>
      </c>
      <c r="AD437" s="25">
        <v>0</v>
      </c>
      <c r="AE437" s="9">
        <f>SUM(S437:AD437)</f>
        <v>0</v>
      </c>
    </row>
    <row r="438" spans="1:31" x14ac:dyDescent="0.2">
      <c r="C438" s="6" t="s">
        <v>6</v>
      </c>
      <c r="S438" s="20">
        <v>77.7</v>
      </c>
      <c r="AE438" s="9">
        <f>SUM(S438:AD438)</f>
        <v>77.7</v>
      </c>
    </row>
    <row r="439" spans="1:31" ht="13.5" thickBot="1" x14ac:dyDescent="0.25">
      <c r="C439" s="6" t="s">
        <v>7</v>
      </c>
      <c r="S439" s="9">
        <v>26868.89</v>
      </c>
      <c r="T439" s="9">
        <v>26868.89</v>
      </c>
      <c r="U439" s="9">
        <v>21785</v>
      </c>
      <c r="V439" s="9">
        <v>21785</v>
      </c>
      <c r="W439" s="9">
        <v>21785.01</v>
      </c>
      <c r="X439" s="9">
        <v>21785</v>
      </c>
      <c r="Y439" s="9">
        <v>21785</v>
      </c>
      <c r="Z439" s="9">
        <v>21784.39</v>
      </c>
      <c r="AA439" s="9">
        <v>21785.01</v>
      </c>
      <c r="AB439" s="9">
        <v>21785.01</v>
      </c>
      <c r="AC439" s="9">
        <v>21785</v>
      </c>
      <c r="AD439" s="25">
        <v>21785.01</v>
      </c>
      <c r="AE439" s="9">
        <f>SUM(S439:AD439)</f>
        <v>271587.21000000002</v>
      </c>
    </row>
    <row r="440" spans="1:31" ht="13.5" thickBot="1" x14ac:dyDescent="0.25">
      <c r="C440" s="10" t="s">
        <v>144</v>
      </c>
      <c r="S440" s="11">
        <f t="shared" ref="S440:AD440" si="105">SUM(S437:S439)</f>
        <v>26946.59</v>
      </c>
      <c r="T440" s="11">
        <f t="shared" si="105"/>
        <v>26868.89</v>
      </c>
      <c r="U440" s="11">
        <f t="shared" si="105"/>
        <v>21785</v>
      </c>
      <c r="V440" s="11">
        <f t="shared" si="105"/>
        <v>21785</v>
      </c>
      <c r="W440" s="11">
        <f t="shared" si="105"/>
        <v>21785.01</v>
      </c>
      <c r="X440" s="11">
        <f t="shared" si="105"/>
        <v>21785</v>
      </c>
      <c r="Y440" s="11">
        <f t="shared" si="105"/>
        <v>21785</v>
      </c>
      <c r="Z440" s="11">
        <f t="shared" si="105"/>
        <v>21784.39</v>
      </c>
      <c r="AA440" s="11">
        <f t="shared" si="105"/>
        <v>21785.01</v>
      </c>
      <c r="AB440" s="11">
        <f t="shared" si="105"/>
        <v>21785.01</v>
      </c>
      <c r="AC440" s="11">
        <f t="shared" si="105"/>
        <v>21785</v>
      </c>
      <c r="AD440" s="38">
        <f t="shared" si="105"/>
        <v>21785.01</v>
      </c>
      <c r="AE440" s="11">
        <f>SUM(AE437:AE439)</f>
        <v>271664.91000000003</v>
      </c>
    </row>
    <row r="441" spans="1:31" x14ac:dyDescent="0.2">
      <c r="C441" s="12"/>
    </row>
    <row r="442" spans="1:31" ht="15.75" x14ac:dyDescent="0.25">
      <c r="A442" s="1">
        <f>A430</f>
        <v>49</v>
      </c>
      <c r="B442" s="23" t="s">
        <v>145</v>
      </c>
      <c r="C442" s="19" t="s">
        <v>146</v>
      </c>
    </row>
    <row r="443" spans="1:31" x14ac:dyDescent="0.2">
      <c r="C443" s="6" t="s">
        <v>5</v>
      </c>
      <c r="S443" s="9">
        <v>0</v>
      </c>
      <c r="T443" s="9">
        <v>0</v>
      </c>
      <c r="U443" s="9">
        <v>0</v>
      </c>
      <c r="V443" s="9">
        <v>0</v>
      </c>
      <c r="W443" s="9">
        <v>0</v>
      </c>
      <c r="X443" s="9">
        <v>0</v>
      </c>
      <c r="Y443" s="9">
        <v>0</v>
      </c>
      <c r="Z443" s="9">
        <v>0</v>
      </c>
      <c r="AA443" s="9">
        <v>0</v>
      </c>
      <c r="AB443" s="9">
        <v>0</v>
      </c>
      <c r="AC443" s="9">
        <v>0</v>
      </c>
      <c r="AD443" s="25">
        <v>0</v>
      </c>
      <c r="AE443" s="9">
        <f>SUM(S443:AD443)</f>
        <v>0</v>
      </c>
    </row>
    <row r="444" spans="1:31" x14ac:dyDescent="0.2">
      <c r="C444" s="6" t="s">
        <v>6</v>
      </c>
      <c r="S444" s="20">
        <v>97.97</v>
      </c>
      <c r="AE444" s="9">
        <f>SUM(S444:AD444)</f>
        <v>97.97</v>
      </c>
    </row>
    <row r="445" spans="1:31" ht="13.5" thickBot="1" x14ac:dyDescent="0.25">
      <c r="C445" s="6" t="s">
        <v>7</v>
      </c>
      <c r="S445" s="9">
        <v>33880.050000000003</v>
      </c>
      <c r="T445" s="9">
        <v>33880.04</v>
      </c>
      <c r="U445" s="9">
        <v>27469.57</v>
      </c>
      <c r="V445" s="9">
        <v>27469.57</v>
      </c>
      <c r="W445" s="9">
        <v>27469.58</v>
      </c>
      <c r="X445" s="9">
        <v>27469.57</v>
      </c>
      <c r="Y445" s="9">
        <v>27469.57</v>
      </c>
      <c r="Z445" s="9">
        <v>27468.79</v>
      </c>
      <c r="AA445" s="9">
        <v>27469.58</v>
      </c>
      <c r="AB445" s="9">
        <v>27469.58</v>
      </c>
      <c r="AC445" s="9">
        <v>27469.57</v>
      </c>
      <c r="AD445" s="25">
        <v>27469.58</v>
      </c>
      <c r="AE445" s="9">
        <f>SUM(S445:AD445)</f>
        <v>342455.05000000005</v>
      </c>
    </row>
    <row r="446" spans="1:31" ht="13.5" thickBot="1" x14ac:dyDescent="0.25">
      <c r="C446" s="10" t="s">
        <v>147</v>
      </c>
      <c r="S446" s="11">
        <f t="shared" ref="S446:AD446" si="106">SUM(S443:S445)</f>
        <v>33978.020000000004</v>
      </c>
      <c r="T446" s="11">
        <f t="shared" si="106"/>
        <v>33880.04</v>
      </c>
      <c r="U446" s="11">
        <f t="shared" si="106"/>
        <v>27469.57</v>
      </c>
      <c r="V446" s="11">
        <f t="shared" si="106"/>
        <v>27469.57</v>
      </c>
      <c r="W446" s="11">
        <f t="shared" si="106"/>
        <v>27469.58</v>
      </c>
      <c r="X446" s="11">
        <f t="shared" si="106"/>
        <v>27469.57</v>
      </c>
      <c r="Y446" s="11">
        <f t="shared" si="106"/>
        <v>27469.57</v>
      </c>
      <c r="Z446" s="11">
        <f t="shared" si="106"/>
        <v>27468.79</v>
      </c>
      <c r="AA446" s="11">
        <f t="shared" si="106"/>
        <v>27469.58</v>
      </c>
      <c r="AB446" s="11">
        <f t="shared" si="106"/>
        <v>27469.58</v>
      </c>
      <c r="AC446" s="11">
        <f t="shared" si="106"/>
        <v>27469.57</v>
      </c>
      <c r="AD446" s="38">
        <f t="shared" si="106"/>
        <v>27469.58</v>
      </c>
      <c r="AE446" s="11">
        <f>SUM(AE443:AE445)</f>
        <v>342553.02</v>
      </c>
    </row>
    <row r="447" spans="1:31" x14ac:dyDescent="0.2">
      <c r="C447" s="12"/>
    </row>
    <row r="448" spans="1:31" ht="15.75" x14ac:dyDescent="0.25">
      <c r="A448" s="1">
        <f>A430+1</f>
        <v>50</v>
      </c>
      <c r="B448" s="23"/>
      <c r="C448" s="19" t="s">
        <v>148</v>
      </c>
    </row>
    <row r="449" spans="1:31" x14ac:dyDescent="0.2">
      <c r="C449" s="6" t="s">
        <v>5</v>
      </c>
      <c r="S449" s="9">
        <v>0</v>
      </c>
      <c r="T449" s="9">
        <v>0</v>
      </c>
      <c r="U449" s="9">
        <v>0</v>
      </c>
      <c r="V449" s="9">
        <v>0</v>
      </c>
      <c r="W449" s="9">
        <v>0</v>
      </c>
      <c r="X449" s="9">
        <v>0</v>
      </c>
      <c r="Y449" s="9">
        <v>0</v>
      </c>
      <c r="Z449" s="9">
        <v>0</v>
      </c>
      <c r="AA449" s="9">
        <v>0</v>
      </c>
      <c r="AB449" s="9">
        <v>0</v>
      </c>
      <c r="AC449" s="9">
        <v>0</v>
      </c>
      <c r="AD449" s="25">
        <v>0</v>
      </c>
      <c r="AE449" s="9">
        <f>SUM(S449:AD449)</f>
        <v>0</v>
      </c>
    </row>
    <row r="450" spans="1:31" x14ac:dyDescent="0.2">
      <c r="C450" s="6" t="s">
        <v>6</v>
      </c>
      <c r="S450" s="20">
        <v>250</v>
      </c>
      <c r="AE450" s="9">
        <f>SUM(S450:AD450)</f>
        <v>250</v>
      </c>
    </row>
    <row r="451" spans="1:31" ht="13.5" thickBot="1" x14ac:dyDescent="0.25">
      <c r="C451" s="6" t="s">
        <v>7</v>
      </c>
      <c r="S451" s="9">
        <v>17523.8</v>
      </c>
      <c r="T451" s="9">
        <v>17523.8</v>
      </c>
      <c r="U451" s="20">
        <v>23366</v>
      </c>
      <c r="V451" s="20">
        <v>23366</v>
      </c>
      <c r="W451" s="20">
        <v>23366</v>
      </c>
      <c r="X451" s="20">
        <v>23366</v>
      </c>
      <c r="Y451" s="20">
        <v>23366</v>
      </c>
      <c r="Z451" s="20">
        <v>23367</v>
      </c>
      <c r="AA451" s="20">
        <v>23366</v>
      </c>
      <c r="AB451" s="20">
        <v>23366</v>
      </c>
      <c r="AC451" s="20">
        <v>23366</v>
      </c>
      <c r="AD451" s="37">
        <v>23366</v>
      </c>
      <c r="AE451" s="9">
        <f>SUM(S451:AD451)</f>
        <v>268708.59999999998</v>
      </c>
    </row>
    <row r="452" spans="1:31" ht="13.5" thickBot="1" x14ac:dyDescent="0.25">
      <c r="C452" s="10" t="s">
        <v>149</v>
      </c>
      <c r="S452" s="11">
        <f t="shared" ref="S452:AD452" si="107">SUM(S449:S451)</f>
        <v>17773.8</v>
      </c>
      <c r="T452" s="11">
        <f t="shared" si="107"/>
        <v>17523.8</v>
      </c>
      <c r="U452" s="11">
        <f t="shared" si="107"/>
        <v>23366</v>
      </c>
      <c r="V452" s="11">
        <f t="shared" si="107"/>
        <v>23366</v>
      </c>
      <c r="W452" s="11">
        <f t="shared" si="107"/>
        <v>23366</v>
      </c>
      <c r="X452" s="11">
        <f t="shared" si="107"/>
        <v>23366</v>
      </c>
      <c r="Y452" s="11">
        <f t="shared" si="107"/>
        <v>23366</v>
      </c>
      <c r="Z452" s="11">
        <f t="shared" si="107"/>
        <v>23367</v>
      </c>
      <c r="AA452" s="11">
        <f t="shared" si="107"/>
        <v>23366</v>
      </c>
      <c r="AB452" s="11">
        <f t="shared" si="107"/>
        <v>23366</v>
      </c>
      <c r="AC452" s="11">
        <f t="shared" si="107"/>
        <v>23366</v>
      </c>
      <c r="AD452" s="38">
        <f t="shared" si="107"/>
        <v>23366</v>
      </c>
      <c r="AE452" s="11">
        <f>SUM(AE449:AE451)</f>
        <v>268958.59999999998</v>
      </c>
    </row>
    <row r="453" spans="1:31" x14ac:dyDescent="0.2">
      <c r="C453" s="12"/>
    </row>
    <row r="454" spans="1:31" ht="15.75" x14ac:dyDescent="0.25">
      <c r="A454" s="1">
        <f>A448+1</f>
        <v>51</v>
      </c>
      <c r="B454" s="23"/>
      <c r="C454" s="19" t="s">
        <v>150</v>
      </c>
    </row>
    <row r="455" spans="1:31" x14ac:dyDescent="0.2">
      <c r="C455" s="6" t="s">
        <v>5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0</v>
      </c>
      <c r="Y455" s="9">
        <v>0</v>
      </c>
      <c r="Z455" s="9">
        <v>0</v>
      </c>
      <c r="AA455" s="9">
        <v>0</v>
      </c>
      <c r="AB455" s="9">
        <v>0</v>
      </c>
      <c r="AC455" s="9">
        <v>0</v>
      </c>
      <c r="AD455" s="25">
        <v>0</v>
      </c>
      <c r="AE455" s="9">
        <f>SUM(S455:AD455)</f>
        <v>0</v>
      </c>
    </row>
    <row r="456" spans="1:31" x14ac:dyDescent="0.2">
      <c r="C456" s="6" t="s">
        <v>6</v>
      </c>
      <c r="S456" s="20">
        <v>250</v>
      </c>
      <c r="AE456" s="9">
        <f>SUM(S456:AD456)</f>
        <v>250</v>
      </c>
    </row>
    <row r="457" spans="1:31" ht="13.5" thickBot="1" x14ac:dyDescent="0.25">
      <c r="C457" s="6" t="s">
        <v>7</v>
      </c>
      <c r="S457" s="20">
        <v>12850.79</v>
      </c>
      <c r="T457" s="20">
        <v>12850.79</v>
      </c>
      <c r="U457" s="20">
        <v>23366</v>
      </c>
      <c r="V457" s="20">
        <v>23366</v>
      </c>
      <c r="W457" s="20">
        <v>23366</v>
      </c>
      <c r="X457" s="20">
        <v>23366</v>
      </c>
      <c r="Y457" s="20">
        <v>23366</v>
      </c>
      <c r="Z457" s="20">
        <v>23367</v>
      </c>
      <c r="AA457" s="20">
        <v>23366</v>
      </c>
      <c r="AB457" s="20">
        <v>23366</v>
      </c>
      <c r="AC457" s="20">
        <v>23366</v>
      </c>
      <c r="AD457" s="37">
        <v>23366</v>
      </c>
      <c r="AE457" s="9">
        <f>SUM(S457:AD457)</f>
        <v>259362.58000000002</v>
      </c>
    </row>
    <row r="458" spans="1:31" ht="13.5" thickBot="1" x14ac:dyDescent="0.25">
      <c r="C458" s="10" t="s">
        <v>151</v>
      </c>
      <c r="S458" s="11">
        <f t="shared" ref="S458:AD458" si="108">SUM(S455:S457)</f>
        <v>13100.79</v>
      </c>
      <c r="T458" s="11">
        <f t="shared" si="108"/>
        <v>12850.79</v>
      </c>
      <c r="U458" s="11">
        <f t="shared" si="108"/>
        <v>23366</v>
      </c>
      <c r="V458" s="11">
        <f t="shared" si="108"/>
        <v>23366</v>
      </c>
      <c r="W458" s="11">
        <f t="shared" si="108"/>
        <v>23366</v>
      </c>
      <c r="X458" s="11">
        <f t="shared" si="108"/>
        <v>23366</v>
      </c>
      <c r="Y458" s="11">
        <f t="shared" si="108"/>
        <v>23366</v>
      </c>
      <c r="Z458" s="11">
        <f t="shared" si="108"/>
        <v>23367</v>
      </c>
      <c r="AA458" s="11">
        <f t="shared" si="108"/>
        <v>23366</v>
      </c>
      <c r="AB458" s="11">
        <f t="shared" si="108"/>
        <v>23366</v>
      </c>
      <c r="AC458" s="11">
        <f t="shared" si="108"/>
        <v>23366</v>
      </c>
      <c r="AD458" s="38">
        <f t="shared" si="108"/>
        <v>23366</v>
      </c>
      <c r="AE458" s="11">
        <f>SUM(AE455:AE457)</f>
        <v>259612.58000000002</v>
      </c>
    </row>
    <row r="459" spans="1:31" x14ac:dyDescent="0.2">
      <c r="C459" s="12"/>
    </row>
    <row r="460" spans="1:31" ht="15.75" x14ac:dyDescent="0.25">
      <c r="B460" s="21" t="s">
        <v>3</v>
      </c>
      <c r="C460" s="8" t="s">
        <v>152</v>
      </c>
    </row>
    <row r="461" spans="1:31" x14ac:dyDescent="0.2">
      <c r="C461" s="6" t="s">
        <v>5</v>
      </c>
    </row>
    <row r="462" spans="1:31" x14ac:dyDescent="0.2">
      <c r="C462" s="6" t="s">
        <v>6</v>
      </c>
    </row>
    <row r="463" spans="1:31" ht="13.5" thickBot="1" x14ac:dyDescent="0.25">
      <c r="C463" s="6" t="s">
        <v>7</v>
      </c>
    </row>
    <row r="464" spans="1:31" ht="13.5" thickBot="1" x14ac:dyDescent="0.25">
      <c r="C464" s="10" t="s">
        <v>153</v>
      </c>
    </row>
    <row r="465" spans="1:31" x14ac:dyDescent="0.2">
      <c r="C465" s="12"/>
    </row>
    <row r="466" spans="1:31" ht="15.75" x14ac:dyDescent="0.25">
      <c r="A466" s="1">
        <f>A454+1</f>
        <v>52</v>
      </c>
      <c r="B466" s="23"/>
      <c r="C466" s="19" t="s">
        <v>154</v>
      </c>
    </row>
    <row r="467" spans="1:31" x14ac:dyDescent="0.2">
      <c r="C467" s="6" t="s">
        <v>5</v>
      </c>
      <c r="S467" s="9">
        <v>0</v>
      </c>
      <c r="T467" s="9">
        <v>0</v>
      </c>
      <c r="U467" s="9">
        <v>0</v>
      </c>
      <c r="V467" s="9">
        <v>0</v>
      </c>
      <c r="W467" s="9">
        <v>0</v>
      </c>
      <c r="X467" s="9">
        <v>0</v>
      </c>
      <c r="Y467" s="9">
        <v>0</v>
      </c>
      <c r="Z467" s="9">
        <v>0</v>
      </c>
      <c r="AA467" s="9">
        <v>0</v>
      </c>
      <c r="AB467" s="9">
        <v>0</v>
      </c>
      <c r="AC467" s="9">
        <v>0</v>
      </c>
      <c r="AD467" s="25">
        <v>0</v>
      </c>
      <c r="AE467" s="9">
        <f>SUM(S467:AD467)</f>
        <v>0</v>
      </c>
    </row>
    <row r="468" spans="1:31" x14ac:dyDescent="0.2">
      <c r="C468" s="6" t="s">
        <v>6</v>
      </c>
      <c r="S468" s="20">
        <v>250</v>
      </c>
      <c r="AE468" s="9">
        <f>SUM(S468:AD468)</f>
        <v>250</v>
      </c>
    </row>
    <row r="469" spans="1:31" ht="13.5" thickBot="1" x14ac:dyDescent="0.25">
      <c r="C469" s="6" t="s">
        <v>7</v>
      </c>
      <c r="S469" s="9">
        <f>22916.67+138044.79</f>
        <v>160961.46000000002</v>
      </c>
      <c r="T469" s="9">
        <f t="shared" ref="T469:AD469" si="109">22916.67+138044.79</f>
        <v>160961.46000000002</v>
      </c>
      <c r="U469" s="9">
        <f t="shared" si="109"/>
        <v>160961.46000000002</v>
      </c>
      <c r="V469" s="9">
        <f t="shared" si="109"/>
        <v>160961.46000000002</v>
      </c>
      <c r="W469" s="9">
        <f t="shared" si="109"/>
        <v>160961.46000000002</v>
      </c>
      <c r="X469" s="9">
        <f t="shared" si="109"/>
        <v>160961.46000000002</v>
      </c>
      <c r="Y469" s="9">
        <f t="shared" si="109"/>
        <v>160961.46000000002</v>
      </c>
      <c r="Z469" s="9">
        <f t="shared" si="109"/>
        <v>160961.46000000002</v>
      </c>
      <c r="AA469" s="9">
        <f t="shared" si="109"/>
        <v>160961.46000000002</v>
      </c>
      <c r="AB469" s="9">
        <f t="shared" si="109"/>
        <v>160961.46000000002</v>
      </c>
      <c r="AC469" s="9">
        <f t="shared" si="109"/>
        <v>160961.46000000002</v>
      </c>
      <c r="AD469" s="25">
        <f t="shared" si="109"/>
        <v>160961.46000000002</v>
      </c>
      <c r="AE469" s="9">
        <f>SUM(S469:AD469)</f>
        <v>1931537.5199999998</v>
      </c>
    </row>
    <row r="470" spans="1:31" ht="13.5" thickBot="1" x14ac:dyDescent="0.25">
      <c r="C470" s="10" t="s">
        <v>155</v>
      </c>
      <c r="S470" s="11">
        <f t="shared" ref="S470:AD470" si="110">SUM(S467:S469)</f>
        <v>161211.46000000002</v>
      </c>
      <c r="T470" s="11">
        <f t="shared" si="110"/>
        <v>160961.46000000002</v>
      </c>
      <c r="U470" s="11">
        <f t="shared" si="110"/>
        <v>160961.46000000002</v>
      </c>
      <c r="V470" s="11">
        <f t="shared" si="110"/>
        <v>160961.46000000002</v>
      </c>
      <c r="W470" s="11">
        <f t="shared" si="110"/>
        <v>160961.46000000002</v>
      </c>
      <c r="X470" s="11">
        <f t="shared" si="110"/>
        <v>160961.46000000002</v>
      </c>
      <c r="Y470" s="11">
        <f t="shared" si="110"/>
        <v>160961.46000000002</v>
      </c>
      <c r="Z470" s="11">
        <f t="shared" si="110"/>
        <v>160961.46000000002</v>
      </c>
      <c r="AA470" s="11">
        <f t="shared" si="110"/>
        <v>160961.46000000002</v>
      </c>
      <c r="AB470" s="11">
        <f t="shared" si="110"/>
        <v>160961.46000000002</v>
      </c>
      <c r="AC470" s="11">
        <f t="shared" si="110"/>
        <v>160961.46000000002</v>
      </c>
      <c r="AD470" s="38">
        <f t="shared" si="110"/>
        <v>160961.46000000002</v>
      </c>
      <c r="AE470" s="11">
        <f>SUM(AE467:AE469)</f>
        <v>1931787.5199999998</v>
      </c>
    </row>
    <row r="471" spans="1:31" x14ac:dyDescent="0.2">
      <c r="C471" s="12"/>
    </row>
    <row r="472" spans="1:31" ht="15.75" x14ac:dyDescent="0.25">
      <c r="B472" s="22" t="s">
        <v>3</v>
      </c>
      <c r="C472" s="8" t="s">
        <v>156</v>
      </c>
    </row>
    <row r="473" spans="1:31" x14ac:dyDescent="0.2">
      <c r="C473" s="6" t="s">
        <v>5</v>
      </c>
    </row>
    <row r="474" spans="1:31" x14ac:dyDescent="0.2">
      <c r="C474" s="6" t="s">
        <v>6</v>
      </c>
    </row>
    <row r="475" spans="1:31" ht="13.5" thickBot="1" x14ac:dyDescent="0.25">
      <c r="C475" s="6" t="s">
        <v>7</v>
      </c>
    </row>
    <row r="476" spans="1:31" ht="13.5" thickBot="1" x14ac:dyDescent="0.25">
      <c r="C476" s="10" t="s">
        <v>157</v>
      </c>
    </row>
    <row r="477" spans="1:31" x14ac:dyDescent="0.2">
      <c r="C477" s="12"/>
    </row>
    <row r="478" spans="1:31" ht="15.75" x14ac:dyDescent="0.25">
      <c r="A478" s="15">
        <f>+A466+1</f>
        <v>53</v>
      </c>
      <c r="C478" s="19" t="s">
        <v>158</v>
      </c>
    </row>
    <row r="479" spans="1:31" x14ac:dyDescent="0.2">
      <c r="C479" s="6" t="s">
        <v>5</v>
      </c>
      <c r="S479" s="9">
        <v>0</v>
      </c>
      <c r="T479" s="9">
        <v>0</v>
      </c>
      <c r="U479" s="9">
        <v>0</v>
      </c>
      <c r="V479" s="9">
        <v>0</v>
      </c>
      <c r="W479" s="9">
        <v>0</v>
      </c>
      <c r="X479" s="9">
        <v>0</v>
      </c>
      <c r="Y479" s="9">
        <v>0</v>
      </c>
      <c r="Z479" s="9">
        <v>0</v>
      </c>
      <c r="AA479" s="9">
        <v>0</v>
      </c>
      <c r="AB479" s="9">
        <v>0</v>
      </c>
      <c r="AC479" s="9">
        <v>0</v>
      </c>
      <c r="AD479" s="25">
        <v>0</v>
      </c>
      <c r="AE479" s="9">
        <f>SUM(S479:AD479)</f>
        <v>0</v>
      </c>
    </row>
    <row r="480" spans="1:31" x14ac:dyDescent="0.2">
      <c r="C480" s="6" t="s">
        <v>6</v>
      </c>
      <c r="S480" s="20">
        <v>250</v>
      </c>
      <c r="AE480" s="9">
        <f>SUM(S480:AD480)</f>
        <v>250</v>
      </c>
    </row>
    <row r="481" spans="1:31" ht="13.5" thickBot="1" x14ac:dyDescent="0.25">
      <c r="C481" s="6" t="s">
        <v>7</v>
      </c>
      <c r="S481" s="20">
        <v>197666.67</v>
      </c>
      <c r="T481" s="20">
        <v>197666.67</v>
      </c>
      <c r="U481" s="20">
        <v>197666.67</v>
      </c>
      <c r="V481" s="20">
        <v>197833.34</v>
      </c>
      <c r="W481" s="20">
        <v>197833.34</v>
      </c>
      <c r="X481" s="20">
        <v>197833.34</v>
      </c>
      <c r="Y481" s="20">
        <v>197833.34</v>
      </c>
      <c r="Z481" s="20">
        <v>197833.34</v>
      </c>
      <c r="AA481" s="20">
        <v>197833.34</v>
      </c>
      <c r="AB481" s="20">
        <v>197833.34</v>
      </c>
      <c r="AC481" s="20">
        <v>197833.34</v>
      </c>
      <c r="AD481" s="37">
        <v>197833.34</v>
      </c>
      <c r="AE481" s="9">
        <f>SUM(S481:AD481)</f>
        <v>2373500.0700000003</v>
      </c>
    </row>
    <row r="482" spans="1:31" ht="13.5" thickBot="1" x14ac:dyDescent="0.25">
      <c r="C482" s="10" t="s">
        <v>159</v>
      </c>
      <c r="S482" s="11">
        <f t="shared" ref="S482:AD482" si="111">SUM(S479:S481)</f>
        <v>197916.67</v>
      </c>
      <c r="T482" s="11">
        <f t="shared" si="111"/>
        <v>197666.67</v>
      </c>
      <c r="U482" s="11">
        <f t="shared" si="111"/>
        <v>197666.67</v>
      </c>
      <c r="V482" s="11">
        <f t="shared" si="111"/>
        <v>197833.34</v>
      </c>
      <c r="W482" s="11">
        <f t="shared" si="111"/>
        <v>197833.34</v>
      </c>
      <c r="X482" s="11">
        <f t="shared" si="111"/>
        <v>197833.34</v>
      </c>
      <c r="Y482" s="11">
        <f t="shared" si="111"/>
        <v>197833.34</v>
      </c>
      <c r="Z482" s="11">
        <f t="shared" si="111"/>
        <v>197833.34</v>
      </c>
      <c r="AA482" s="11">
        <f t="shared" si="111"/>
        <v>197833.34</v>
      </c>
      <c r="AB482" s="11">
        <f t="shared" si="111"/>
        <v>197833.34</v>
      </c>
      <c r="AC482" s="11">
        <f t="shared" si="111"/>
        <v>197833.34</v>
      </c>
      <c r="AD482" s="38">
        <f t="shared" si="111"/>
        <v>197833.34</v>
      </c>
      <c r="AE482" s="11">
        <f>SUM(AE479:AE481)</f>
        <v>2373750.0700000003</v>
      </c>
    </row>
    <row r="483" spans="1:31" x14ac:dyDescent="0.2">
      <c r="C483" s="12"/>
    </row>
    <row r="484" spans="1:31" ht="15.75" x14ac:dyDescent="0.25">
      <c r="A484" s="15">
        <f>+A478+1</f>
        <v>54</v>
      </c>
      <c r="C484" s="19" t="s">
        <v>160</v>
      </c>
    </row>
    <row r="485" spans="1:31" x14ac:dyDescent="0.2">
      <c r="C485" s="6" t="s">
        <v>5</v>
      </c>
      <c r="S485" s="9">
        <v>0</v>
      </c>
      <c r="T485" s="9">
        <v>0</v>
      </c>
      <c r="U485" s="9">
        <v>0</v>
      </c>
      <c r="V485" s="9">
        <v>0</v>
      </c>
      <c r="W485" s="9">
        <v>0</v>
      </c>
      <c r="X485" s="9">
        <v>0</v>
      </c>
      <c r="Y485" s="9">
        <v>0</v>
      </c>
      <c r="Z485" s="9">
        <v>0</v>
      </c>
      <c r="AA485" s="9">
        <v>0</v>
      </c>
      <c r="AB485" s="9">
        <v>0</v>
      </c>
      <c r="AC485" s="9">
        <v>0</v>
      </c>
      <c r="AD485" s="25">
        <v>0</v>
      </c>
      <c r="AE485" s="9">
        <f>SUM(S485:AD485)</f>
        <v>0</v>
      </c>
    </row>
    <row r="486" spans="1:31" x14ac:dyDescent="0.2">
      <c r="C486" s="6" t="s">
        <v>6</v>
      </c>
      <c r="S486" s="20">
        <v>250</v>
      </c>
      <c r="AE486" s="9">
        <f>SUM(S486:AD486)</f>
        <v>250</v>
      </c>
    </row>
    <row r="487" spans="1:31" ht="13.5" thickBot="1" x14ac:dyDescent="0.25">
      <c r="C487" s="6" t="s">
        <v>7</v>
      </c>
      <c r="S487" s="20">
        <f>8750+50217.71</f>
        <v>58967.71</v>
      </c>
      <c r="T487" s="20">
        <f t="shared" ref="T487:AC487" si="112">8750+50217.71</f>
        <v>58967.71</v>
      </c>
      <c r="U487" s="20">
        <f t="shared" si="112"/>
        <v>58967.71</v>
      </c>
      <c r="V487" s="20">
        <f t="shared" si="112"/>
        <v>58967.71</v>
      </c>
      <c r="W487" s="20">
        <f t="shared" si="112"/>
        <v>58967.71</v>
      </c>
      <c r="X487" s="20">
        <f>8750+50217.7</f>
        <v>58967.7</v>
      </c>
      <c r="Y487" s="20">
        <f t="shared" si="112"/>
        <v>58967.71</v>
      </c>
      <c r="Z487" s="20">
        <f t="shared" si="112"/>
        <v>58967.71</v>
      </c>
      <c r="AA487" s="20">
        <f t="shared" si="112"/>
        <v>58967.71</v>
      </c>
      <c r="AB487" s="20">
        <f t="shared" si="112"/>
        <v>58967.71</v>
      </c>
      <c r="AC487" s="20">
        <f t="shared" si="112"/>
        <v>58967.71</v>
      </c>
      <c r="AD487" s="37">
        <f>8750+50217.7</f>
        <v>58967.7</v>
      </c>
      <c r="AE487" s="9">
        <f>SUM(S487:AD487)</f>
        <v>707612.49999999988</v>
      </c>
    </row>
    <row r="488" spans="1:31" ht="13.5" thickBot="1" x14ac:dyDescent="0.25">
      <c r="C488" s="10" t="s">
        <v>161</v>
      </c>
      <c r="S488" s="11">
        <f t="shared" ref="S488:AD488" si="113">SUM(S485:S487)</f>
        <v>59217.71</v>
      </c>
      <c r="T488" s="11">
        <f t="shared" si="113"/>
        <v>58967.71</v>
      </c>
      <c r="U488" s="11">
        <f t="shared" si="113"/>
        <v>58967.71</v>
      </c>
      <c r="V488" s="11">
        <f t="shared" si="113"/>
        <v>58967.71</v>
      </c>
      <c r="W488" s="11">
        <f t="shared" si="113"/>
        <v>58967.71</v>
      </c>
      <c r="X488" s="11">
        <f t="shared" si="113"/>
        <v>58967.7</v>
      </c>
      <c r="Y488" s="11">
        <f t="shared" si="113"/>
        <v>58967.71</v>
      </c>
      <c r="Z488" s="11">
        <f t="shared" si="113"/>
        <v>58967.71</v>
      </c>
      <c r="AA488" s="11">
        <f t="shared" si="113"/>
        <v>58967.71</v>
      </c>
      <c r="AB488" s="11">
        <f t="shared" si="113"/>
        <v>58967.71</v>
      </c>
      <c r="AC488" s="11">
        <f t="shared" si="113"/>
        <v>58967.71</v>
      </c>
      <c r="AD488" s="38">
        <f t="shared" si="113"/>
        <v>58967.7</v>
      </c>
      <c r="AE488" s="11">
        <f>SUM(AE485:AE487)</f>
        <v>707862.49999999988</v>
      </c>
    </row>
    <row r="489" spans="1:31" x14ac:dyDescent="0.2">
      <c r="C489" s="12"/>
    </row>
    <row r="490" spans="1:31" ht="15.75" x14ac:dyDescent="0.25">
      <c r="A490" s="15">
        <f>+A484+1</f>
        <v>55</v>
      </c>
      <c r="C490" s="19" t="s">
        <v>162</v>
      </c>
    </row>
    <row r="491" spans="1:31" x14ac:dyDescent="0.2">
      <c r="C491" s="6" t="s">
        <v>5</v>
      </c>
      <c r="S491" s="9">
        <v>0</v>
      </c>
      <c r="T491" s="9">
        <v>0</v>
      </c>
      <c r="U491" s="9">
        <v>0</v>
      </c>
      <c r="V491" s="9">
        <v>0</v>
      </c>
      <c r="W491" s="9">
        <v>0</v>
      </c>
      <c r="X491" s="9">
        <v>0</v>
      </c>
      <c r="Y491" s="9">
        <v>0</v>
      </c>
      <c r="Z491" s="9">
        <v>0</v>
      </c>
      <c r="AA491" s="9">
        <v>0</v>
      </c>
      <c r="AB491" s="9">
        <v>0</v>
      </c>
      <c r="AC491" s="9">
        <v>0</v>
      </c>
      <c r="AD491" s="25">
        <v>0</v>
      </c>
      <c r="AE491" s="9">
        <f>SUM(S491:AD491)</f>
        <v>0</v>
      </c>
    </row>
    <row r="492" spans="1:31" x14ac:dyDescent="0.2">
      <c r="C492" s="6" t="s">
        <v>6</v>
      </c>
      <c r="S492" s="20">
        <v>250</v>
      </c>
      <c r="AE492" s="9">
        <f>SUM(S492:AD492)</f>
        <v>250</v>
      </c>
    </row>
    <row r="493" spans="1:31" ht="13.5" thickBot="1" x14ac:dyDescent="0.25">
      <c r="C493" s="6" t="s">
        <v>7</v>
      </c>
      <c r="S493" s="20">
        <f t="shared" ref="S493:U493" si="114">43820.83+6250</f>
        <v>50070.83</v>
      </c>
      <c r="T493" s="20">
        <f t="shared" si="114"/>
        <v>50070.83</v>
      </c>
      <c r="U493" s="20">
        <f t="shared" si="114"/>
        <v>50070.83</v>
      </c>
      <c r="V493" s="20">
        <f>43820.85+6250</f>
        <v>50070.85</v>
      </c>
      <c r="W493" s="20">
        <f>43570.83+6666.66</f>
        <v>50237.490000000005</v>
      </c>
      <c r="X493" s="20">
        <f t="shared" ref="X493:AD493" si="115">43570.83+6666.66</f>
        <v>50237.490000000005</v>
      </c>
      <c r="Y493" s="20">
        <f t="shared" si="115"/>
        <v>50237.490000000005</v>
      </c>
      <c r="Z493" s="20">
        <f t="shared" si="115"/>
        <v>50237.490000000005</v>
      </c>
      <c r="AA493" s="20">
        <f t="shared" si="115"/>
        <v>50237.490000000005</v>
      </c>
      <c r="AB493" s="20">
        <f>43570.85+6666.66</f>
        <v>50237.509999999995</v>
      </c>
      <c r="AC493" s="20">
        <f t="shared" si="115"/>
        <v>50237.490000000005</v>
      </c>
      <c r="AD493" s="37">
        <f t="shared" si="115"/>
        <v>50237.490000000005</v>
      </c>
      <c r="AE493" s="9">
        <f>SUM(S493:AD493)</f>
        <v>602183.28</v>
      </c>
    </row>
    <row r="494" spans="1:31" ht="13.5" thickBot="1" x14ac:dyDescent="0.25">
      <c r="C494" s="10" t="s">
        <v>50</v>
      </c>
      <c r="S494" s="11">
        <f t="shared" ref="S494:AD494" si="116">SUM(S491:S493)</f>
        <v>50320.83</v>
      </c>
      <c r="T494" s="11">
        <f t="shared" si="116"/>
        <v>50070.83</v>
      </c>
      <c r="U494" s="11">
        <f t="shared" si="116"/>
        <v>50070.83</v>
      </c>
      <c r="V494" s="11">
        <f t="shared" si="116"/>
        <v>50070.85</v>
      </c>
      <c r="W494" s="11">
        <f t="shared" si="116"/>
        <v>50237.490000000005</v>
      </c>
      <c r="X494" s="11">
        <f t="shared" si="116"/>
        <v>50237.490000000005</v>
      </c>
      <c r="Y494" s="11">
        <f t="shared" si="116"/>
        <v>50237.490000000005</v>
      </c>
      <c r="Z494" s="11">
        <f t="shared" si="116"/>
        <v>50237.490000000005</v>
      </c>
      <c r="AA494" s="11">
        <f t="shared" si="116"/>
        <v>50237.490000000005</v>
      </c>
      <c r="AB494" s="11">
        <f t="shared" si="116"/>
        <v>50237.509999999995</v>
      </c>
      <c r="AC494" s="11">
        <f t="shared" si="116"/>
        <v>50237.490000000005</v>
      </c>
      <c r="AD494" s="38">
        <f t="shared" si="116"/>
        <v>50237.490000000005</v>
      </c>
      <c r="AE494" s="11">
        <f>SUM(AE491:AE493)</f>
        <v>602433.28000000003</v>
      </c>
    </row>
    <row r="495" spans="1:31" x14ac:dyDescent="0.2">
      <c r="C495" s="12"/>
    </row>
    <row r="496" spans="1:31" ht="15.75" x14ac:dyDescent="0.25">
      <c r="A496" s="15"/>
      <c r="B496" s="24" t="s">
        <v>3</v>
      </c>
      <c r="C496" s="8" t="s">
        <v>163</v>
      </c>
    </row>
    <row r="497" spans="1:31" x14ac:dyDescent="0.2">
      <c r="C497" s="6" t="s">
        <v>5</v>
      </c>
      <c r="S497" s="9">
        <v>0</v>
      </c>
      <c r="T497" s="9">
        <v>0</v>
      </c>
      <c r="U497" s="9">
        <v>0</v>
      </c>
      <c r="V497" s="9">
        <v>0</v>
      </c>
      <c r="W497" s="9">
        <v>0</v>
      </c>
      <c r="X497" s="9"/>
      <c r="Y497" s="9"/>
      <c r="Z497" s="9"/>
      <c r="AA497" s="9"/>
      <c r="AB497" s="9"/>
      <c r="AC497" s="9"/>
      <c r="AD497" s="25"/>
      <c r="AE497" s="9">
        <f>SUM(S497:AD497)</f>
        <v>0</v>
      </c>
    </row>
    <row r="498" spans="1:31" x14ac:dyDescent="0.2">
      <c r="C498" s="6" t="s">
        <v>6</v>
      </c>
      <c r="S498" s="20">
        <v>250</v>
      </c>
      <c r="AE498" s="9">
        <f>SUM(S498:AD498)</f>
        <v>250</v>
      </c>
    </row>
    <row r="499" spans="1:31" ht="13.5" thickBot="1" x14ac:dyDescent="0.25">
      <c r="C499" s="6" t="s">
        <v>7</v>
      </c>
      <c r="S499" s="20">
        <v>55583.33</v>
      </c>
      <c r="T499" s="20">
        <v>55583.33</v>
      </c>
      <c r="U499" s="20">
        <v>55583.33</v>
      </c>
      <c r="V499" s="20">
        <v>55583.33</v>
      </c>
      <c r="W499" s="20">
        <v>55583.33</v>
      </c>
      <c r="X499" s="20"/>
      <c r="Y499" s="20"/>
      <c r="Z499" s="20"/>
      <c r="AA499" s="20"/>
      <c r="AB499" s="20"/>
      <c r="AC499" s="20"/>
      <c r="AD499" s="37"/>
      <c r="AE499" s="9">
        <f>SUM(S499:AD499)</f>
        <v>277916.65000000002</v>
      </c>
    </row>
    <row r="500" spans="1:31" ht="13.5" thickBot="1" x14ac:dyDescent="0.25">
      <c r="C500" s="10" t="s">
        <v>164</v>
      </c>
      <c r="S500" s="11">
        <f t="shared" ref="S500:AD500" si="117">SUM(S497:S499)</f>
        <v>55833.33</v>
      </c>
      <c r="T500" s="11">
        <f t="shared" si="117"/>
        <v>55583.33</v>
      </c>
      <c r="U500" s="11">
        <f t="shared" si="117"/>
        <v>55583.33</v>
      </c>
      <c r="V500" s="11">
        <f t="shared" si="117"/>
        <v>55583.33</v>
      </c>
      <c r="W500" s="11">
        <f t="shared" si="117"/>
        <v>55583.33</v>
      </c>
      <c r="X500" s="11">
        <f t="shared" si="117"/>
        <v>0</v>
      </c>
      <c r="Y500" s="11">
        <f t="shared" si="117"/>
        <v>0</v>
      </c>
      <c r="Z500" s="11">
        <f t="shared" si="117"/>
        <v>0</v>
      </c>
      <c r="AA500" s="11">
        <f t="shared" si="117"/>
        <v>0</v>
      </c>
      <c r="AB500" s="11">
        <f t="shared" si="117"/>
        <v>0</v>
      </c>
      <c r="AC500" s="11">
        <f t="shared" si="117"/>
        <v>0</v>
      </c>
      <c r="AD500" s="38">
        <f t="shared" si="117"/>
        <v>0</v>
      </c>
      <c r="AE500" s="11">
        <f>SUM(AE497:AE499)</f>
        <v>278166.65000000002</v>
      </c>
    </row>
    <row r="501" spans="1:31" x14ac:dyDescent="0.2">
      <c r="C501" s="12"/>
    </row>
    <row r="502" spans="1:31" ht="15.75" x14ac:dyDescent="0.25">
      <c r="A502" s="15"/>
      <c r="B502" s="24" t="s">
        <v>3</v>
      </c>
      <c r="C502" s="8" t="s">
        <v>165</v>
      </c>
    </row>
    <row r="503" spans="1:31" x14ac:dyDescent="0.2">
      <c r="C503" s="6" t="s">
        <v>5</v>
      </c>
    </row>
    <row r="504" spans="1:31" x14ac:dyDescent="0.2">
      <c r="C504" s="6" t="s">
        <v>6</v>
      </c>
    </row>
    <row r="505" spans="1:31" ht="13.5" thickBot="1" x14ac:dyDescent="0.25">
      <c r="C505" s="6" t="s">
        <v>7</v>
      </c>
    </row>
    <row r="506" spans="1:31" ht="13.5" thickBot="1" x14ac:dyDescent="0.25">
      <c r="C506" s="10" t="s">
        <v>166</v>
      </c>
    </row>
    <row r="507" spans="1:31" x14ac:dyDescent="0.2">
      <c r="C507" s="12"/>
    </row>
    <row r="508" spans="1:31" ht="15.75" x14ac:dyDescent="0.25">
      <c r="A508" s="15">
        <f>+A490+1</f>
        <v>56</v>
      </c>
      <c r="C508" s="19" t="s">
        <v>167</v>
      </c>
    </row>
    <row r="509" spans="1:31" x14ac:dyDescent="0.2">
      <c r="C509" s="6" t="s">
        <v>5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  <c r="Y509" s="9">
        <v>0</v>
      </c>
      <c r="Z509" s="9">
        <v>0</v>
      </c>
      <c r="AA509" s="9">
        <v>0</v>
      </c>
      <c r="AB509" s="9">
        <v>0</v>
      </c>
      <c r="AC509" s="9">
        <v>0</v>
      </c>
      <c r="AD509" s="25">
        <v>0</v>
      </c>
      <c r="AE509" s="9">
        <f>SUM(S509:AD509)</f>
        <v>0</v>
      </c>
    </row>
    <row r="510" spans="1:31" x14ac:dyDescent="0.2">
      <c r="C510" s="6" t="s">
        <v>6</v>
      </c>
      <c r="S510" s="20">
        <v>250</v>
      </c>
      <c r="AE510" s="9">
        <f>SUM(S510:AD510)</f>
        <v>250</v>
      </c>
    </row>
    <row r="511" spans="1:31" ht="13.5" thickBot="1" x14ac:dyDescent="0.25">
      <c r="C511" s="6" t="s">
        <v>7</v>
      </c>
      <c r="S511" s="20">
        <v>42338.78</v>
      </c>
      <c r="T511" s="20">
        <v>42338.98</v>
      </c>
      <c r="U511" s="20">
        <v>42339.08</v>
      </c>
      <c r="V511" s="20">
        <v>42339.07</v>
      </c>
      <c r="W511" s="20">
        <v>42338.96</v>
      </c>
      <c r="X511" s="20">
        <v>42338.75</v>
      </c>
      <c r="Y511" s="20">
        <v>42338.43</v>
      </c>
      <c r="Z511" s="20">
        <v>42339.01</v>
      </c>
      <c r="AA511" s="20">
        <v>42338.48</v>
      </c>
      <c r="AB511" s="20">
        <v>42338.85</v>
      </c>
      <c r="AC511" s="20">
        <v>42339.12</v>
      </c>
      <c r="AD511" s="37">
        <v>42338.28</v>
      </c>
      <c r="AE511" s="9">
        <f>SUM(S511:AD511)</f>
        <v>508065.78999999992</v>
      </c>
    </row>
    <row r="512" spans="1:31" ht="13.5" thickBot="1" x14ac:dyDescent="0.25">
      <c r="C512" s="10" t="s">
        <v>168</v>
      </c>
      <c r="S512" s="11">
        <f t="shared" ref="S512:AD512" si="118">SUM(S509:S511)</f>
        <v>42588.78</v>
      </c>
      <c r="T512" s="11">
        <f t="shared" si="118"/>
        <v>42338.98</v>
      </c>
      <c r="U512" s="11">
        <f t="shared" si="118"/>
        <v>42339.08</v>
      </c>
      <c r="V512" s="11">
        <f t="shared" si="118"/>
        <v>42339.07</v>
      </c>
      <c r="W512" s="11">
        <f t="shared" si="118"/>
        <v>42338.96</v>
      </c>
      <c r="X512" s="11">
        <f t="shared" si="118"/>
        <v>42338.75</v>
      </c>
      <c r="Y512" s="11">
        <f t="shared" si="118"/>
        <v>42338.43</v>
      </c>
      <c r="Z512" s="11">
        <f t="shared" si="118"/>
        <v>42339.01</v>
      </c>
      <c r="AA512" s="11">
        <f t="shared" si="118"/>
        <v>42338.48</v>
      </c>
      <c r="AB512" s="11">
        <f t="shared" si="118"/>
        <v>42338.85</v>
      </c>
      <c r="AC512" s="11">
        <f t="shared" si="118"/>
        <v>42339.12</v>
      </c>
      <c r="AD512" s="38">
        <f t="shared" si="118"/>
        <v>42338.28</v>
      </c>
      <c r="AE512" s="11">
        <f>SUM(AE509:AE511)</f>
        <v>508315.78999999992</v>
      </c>
    </row>
    <row r="513" spans="1:31" x14ac:dyDescent="0.2">
      <c r="C513" s="12"/>
    </row>
    <row r="514" spans="1:31" ht="15.75" x14ac:dyDescent="0.25">
      <c r="A514" s="15">
        <f>+A508+1</f>
        <v>57</v>
      </c>
      <c r="C514" s="19" t="s">
        <v>169</v>
      </c>
    </row>
    <row r="515" spans="1:31" x14ac:dyDescent="0.2">
      <c r="C515" s="6" t="s">
        <v>5</v>
      </c>
      <c r="S515" s="9">
        <v>0</v>
      </c>
      <c r="T515" s="9">
        <v>0</v>
      </c>
      <c r="U515" s="9">
        <v>0</v>
      </c>
      <c r="V515" s="9">
        <v>0</v>
      </c>
      <c r="W515" s="9">
        <v>0</v>
      </c>
      <c r="X515" s="9">
        <v>0</v>
      </c>
      <c r="Y515" s="9">
        <v>0</v>
      </c>
      <c r="Z515" s="9">
        <v>0</v>
      </c>
      <c r="AA515" s="9">
        <v>0</v>
      </c>
      <c r="AB515" s="9">
        <v>0</v>
      </c>
      <c r="AC515" s="9">
        <v>0</v>
      </c>
      <c r="AD515" s="25">
        <v>0</v>
      </c>
      <c r="AE515" s="9">
        <f>SUM(S515:AD515)</f>
        <v>0</v>
      </c>
    </row>
    <row r="516" spans="1:31" x14ac:dyDescent="0.2">
      <c r="C516" s="6" t="s">
        <v>6</v>
      </c>
      <c r="S516" s="20">
        <v>250</v>
      </c>
      <c r="AE516" s="9">
        <f>SUM(S516:AD516)</f>
        <v>250</v>
      </c>
    </row>
    <row r="517" spans="1:31" ht="13.5" thickBot="1" x14ac:dyDescent="0.25">
      <c r="C517" s="6" t="s">
        <v>7</v>
      </c>
      <c r="S517" s="20">
        <v>76337.11</v>
      </c>
      <c r="T517" s="20">
        <v>76336.800000000003</v>
      </c>
      <c r="U517" s="20">
        <v>76337.149999999994</v>
      </c>
      <c r="V517" s="20">
        <v>76337.17</v>
      </c>
      <c r="W517" s="20">
        <v>76336.850000000006</v>
      </c>
      <c r="X517" s="20">
        <v>76337.19</v>
      </c>
      <c r="Y517" s="20">
        <v>76337.19</v>
      </c>
      <c r="Z517" s="20">
        <v>76336.84</v>
      </c>
      <c r="AA517" s="20">
        <v>76337.149999999994</v>
      </c>
      <c r="AB517" s="20">
        <v>76337.119999999995</v>
      </c>
      <c r="AC517" s="20">
        <v>76337.149999999994</v>
      </c>
      <c r="AD517" s="37">
        <v>76337.39</v>
      </c>
      <c r="AE517" s="9">
        <f>SUM(S517:AD517)</f>
        <v>916045.11</v>
      </c>
    </row>
    <row r="518" spans="1:31" ht="13.5" thickBot="1" x14ac:dyDescent="0.25">
      <c r="C518" s="10" t="s">
        <v>170</v>
      </c>
      <c r="S518" s="11">
        <f t="shared" ref="S518:AD518" si="119">SUM(S515:S517)</f>
        <v>76587.11</v>
      </c>
      <c r="T518" s="11">
        <f t="shared" si="119"/>
        <v>76336.800000000003</v>
      </c>
      <c r="U518" s="11">
        <f t="shared" si="119"/>
        <v>76337.149999999994</v>
      </c>
      <c r="V518" s="11">
        <f t="shared" si="119"/>
        <v>76337.17</v>
      </c>
      <c r="W518" s="11">
        <f t="shared" si="119"/>
        <v>76336.850000000006</v>
      </c>
      <c r="X518" s="11">
        <f t="shared" si="119"/>
        <v>76337.19</v>
      </c>
      <c r="Y518" s="11">
        <f t="shared" si="119"/>
        <v>76337.19</v>
      </c>
      <c r="Z518" s="11">
        <f t="shared" si="119"/>
        <v>76336.84</v>
      </c>
      <c r="AA518" s="11">
        <f t="shared" si="119"/>
        <v>76337.149999999994</v>
      </c>
      <c r="AB518" s="11">
        <f t="shared" si="119"/>
        <v>76337.119999999995</v>
      </c>
      <c r="AC518" s="11">
        <f t="shared" si="119"/>
        <v>76337.149999999994</v>
      </c>
      <c r="AD518" s="38">
        <f t="shared" si="119"/>
        <v>76337.39</v>
      </c>
      <c r="AE518" s="11">
        <f>SUM(AE515:AE517)</f>
        <v>916295.11</v>
      </c>
    </row>
    <row r="519" spans="1:31" x14ac:dyDescent="0.2">
      <c r="C519" s="12"/>
    </row>
    <row r="520" spans="1:31" ht="15.75" x14ac:dyDescent="0.25">
      <c r="A520" s="15">
        <f>+A514+1</f>
        <v>58</v>
      </c>
      <c r="C520" s="19" t="s">
        <v>171</v>
      </c>
    </row>
    <row r="521" spans="1:31" x14ac:dyDescent="0.2">
      <c r="C521" s="6" t="s">
        <v>5</v>
      </c>
      <c r="S521" s="9">
        <v>2897.92</v>
      </c>
      <c r="T521" s="9">
        <v>2897.92</v>
      </c>
      <c r="U521" s="9">
        <v>2897.92</v>
      </c>
      <c r="V521" s="9">
        <v>2897.92</v>
      </c>
      <c r="W521" s="9">
        <v>2897.92</v>
      </c>
      <c r="X521" s="9">
        <v>2897.92</v>
      </c>
      <c r="Y521" s="9">
        <v>2897.92</v>
      </c>
      <c r="Z521" s="9">
        <v>2897.92</v>
      </c>
      <c r="AA521" s="9">
        <v>2897.92</v>
      </c>
      <c r="AB521" s="9">
        <v>2860.83</v>
      </c>
      <c r="AC521" s="9">
        <v>2860.83</v>
      </c>
      <c r="AD521" s="25">
        <v>2860.83</v>
      </c>
      <c r="AE521" s="9">
        <f>SUM(S521:AD521)</f>
        <v>34663.770000000004</v>
      </c>
    </row>
    <row r="522" spans="1:31" x14ac:dyDescent="0.2">
      <c r="C522" s="6" t="s">
        <v>6</v>
      </c>
      <c r="S522" s="20">
        <v>250</v>
      </c>
      <c r="AE522" s="9">
        <f>SUM(S522:AD522)</f>
        <v>250</v>
      </c>
    </row>
    <row r="523" spans="1:31" ht="13.5" thickBot="1" x14ac:dyDescent="0.25">
      <c r="C523" s="6" t="s">
        <v>7</v>
      </c>
      <c r="S523" s="20">
        <f t="shared" ref="S523:Y523" si="120">37083.33+140451.56</f>
        <v>177534.89</v>
      </c>
      <c r="T523" s="20">
        <f>37083.33+140451.58</f>
        <v>177534.90999999997</v>
      </c>
      <c r="U523" s="20">
        <f t="shared" si="120"/>
        <v>177534.89</v>
      </c>
      <c r="V523" s="20">
        <f t="shared" si="120"/>
        <v>177534.89</v>
      </c>
      <c r="W523" s="20">
        <f t="shared" si="120"/>
        <v>177534.89</v>
      </c>
      <c r="X523" s="20">
        <f t="shared" si="120"/>
        <v>177534.89</v>
      </c>
      <c r="Y523" s="20">
        <f t="shared" si="120"/>
        <v>177534.89</v>
      </c>
      <c r="Z523" s="20">
        <f>37083.37+140451.58</f>
        <v>177534.94999999998</v>
      </c>
      <c r="AA523" s="20">
        <f>38750+138736.46</f>
        <v>177486.46</v>
      </c>
      <c r="AB523" s="20">
        <f>38750+138736.46</f>
        <v>177486.46</v>
      </c>
      <c r="AC523" s="20">
        <f>38750+138736.46</f>
        <v>177486.46</v>
      </c>
      <c r="AD523" s="37">
        <f>38750+138736.46</f>
        <v>177486.46</v>
      </c>
      <c r="AE523" s="9">
        <f>SUM(S523:AD523)</f>
        <v>2130225.04</v>
      </c>
    </row>
    <row r="524" spans="1:31" ht="13.5" thickBot="1" x14ac:dyDescent="0.25">
      <c r="C524" s="10" t="s">
        <v>172</v>
      </c>
      <c r="S524" s="11">
        <f t="shared" ref="S524:AD524" si="121">SUM(S521:S523)</f>
        <v>180682.81000000003</v>
      </c>
      <c r="T524" s="11">
        <f t="shared" si="121"/>
        <v>180432.83</v>
      </c>
      <c r="U524" s="11">
        <f t="shared" si="121"/>
        <v>180432.81000000003</v>
      </c>
      <c r="V524" s="11">
        <f t="shared" si="121"/>
        <v>180432.81000000003</v>
      </c>
      <c r="W524" s="11">
        <f t="shared" si="121"/>
        <v>180432.81000000003</v>
      </c>
      <c r="X524" s="11">
        <f t="shared" si="121"/>
        <v>180432.81000000003</v>
      </c>
      <c r="Y524" s="11">
        <f t="shared" si="121"/>
        <v>180432.81000000003</v>
      </c>
      <c r="Z524" s="11">
        <f t="shared" si="121"/>
        <v>180432.87</v>
      </c>
      <c r="AA524" s="11">
        <f t="shared" si="121"/>
        <v>180384.38</v>
      </c>
      <c r="AB524" s="11">
        <f t="shared" si="121"/>
        <v>180347.28999999998</v>
      </c>
      <c r="AC524" s="11">
        <f t="shared" si="121"/>
        <v>180347.28999999998</v>
      </c>
      <c r="AD524" s="38">
        <f t="shared" si="121"/>
        <v>180347.28999999998</v>
      </c>
      <c r="AE524" s="11">
        <f>SUM(AE521:AE523)</f>
        <v>2165138.81</v>
      </c>
    </row>
    <row r="525" spans="1:31" x14ac:dyDescent="0.2">
      <c r="C525" s="12"/>
    </row>
    <row r="526" spans="1:31" ht="15.75" x14ac:dyDescent="0.25">
      <c r="A526" s="15">
        <f>+A520+1</f>
        <v>59</v>
      </c>
      <c r="C526" s="19" t="s">
        <v>173</v>
      </c>
    </row>
    <row r="527" spans="1:31" x14ac:dyDescent="0.2">
      <c r="C527" s="6" t="s">
        <v>5</v>
      </c>
      <c r="S527" s="9">
        <v>0</v>
      </c>
      <c r="T527" s="9">
        <v>0</v>
      </c>
      <c r="U527" s="9">
        <v>0</v>
      </c>
      <c r="V527" s="9">
        <v>0</v>
      </c>
      <c r="W527" s="9">
        <v>0</v>
      </c>
      <c r="X527" s="9">
        <v>0</v>
      </c>
      <c r="Y527" s="9">
        <v>0</v>
      </c>
      <c r="Z527" s="9">
        <v>0</v>
      </c>
      <c r="AA527" s="9">
        <v>0</v>
      </c>
      <c r="AB527" s="9">
        <v>0</v>
      </c>
      <c r="AC527" s="9">
        <v>0</v>
      </c>
      <c r="AD527" s="25">
        <v>0</v>
      </c>
      <c r="AE527" s="9">
        <f>SUM(S527:AD527)</f>
        <v>0</v>
      </c>
    </row>
    <row r="528" spans="1:31" x14ac:dyDescent="0.2">
      <c r="C528" s="6" t="s">
        <v>6</v>
      </c>
      <c r="S528" s="20">
        <v>250</v>
      </c>
      <c r="AE528" s="9">
        <f>SUM(S528:AD528)</f>
        <v>250</v>
      </c>
    </row>
    <row r="529" spans="1:31" ht="13.5" thickBot="1" x14ac:dyDescent="0.25">
      <c r="C529" s="6" t="s">
        <v>7</v>
      </c>
      <c r="S529" s="9">
        <v>18702.38</v>
      </c>
      <c r="T529" s="9">
        <v>18702.38</v>
      </c>
      <c r="U529" s="9">
        <v>18702.38</v>
      </c>
      <c r="V529" s="9">
        <v>18702.38</v>
      </c>
      <c r="W529" s="9">
        <v>18702.38</v>
      </c>
      <c r="X529" s="9">
        <v>18702.38</v>
      </c>
      <c r="Y529" s="9">
        <v>18702.38</v>
      </c>
      <c r="Z529" s="9">
        <v>18702.38</v>
      </c>
      <c r="AA529" s="9">
        <v>18702.38</v>
      </c>
      <c r="AB529" s="9">
        <v>18702.38</v>
      </c>
      <c r="AC529" s="9">
        <v>18702.38</v>
      </c>
      <c r="AD529" s="25">
        <v>18702.38</v>
      </c>
      <c r="AE529" s="9">
        <f>SUM(S529:AD529)</f>
        <v>224428.56000000003</v>
      </c>
    </row>
    <row r="530" spans="1:31" ht="13.5" thickBot="1" x14ac:dyDescent="0.25">
      <c r="C530" s="10" t="s">
        <v>174</v>
      </c>
      <c r="S530" s="11">
        <f t="shared" ref="S530:AD530" si="122">SUM(S527:S529)</f>
        <v>18952.38</v>
      </c>
      <c r="T530" s="11">
        <f t="shared" si="122"/>
        <v>18702.38</v>
      </c>
      <c r="U530" s="11">
        <f t="shared" si="122"/>
        <v>18702.38</v>
      </c>
      <c r="V530" s="11">
        <f t="shared" si="122"/>
        <v>18702.38</v>
      </c>
      <c r="W530" s="11">
        <f t="shared" si="122"/>
        <v>18702.38</v>
      </c>
      <c r="X530" s="11">
        <f t="shared" si="122"/>
        <v>18702.38</v>
      </c>
      <c r="Y530" s="11">
        <f t="shared" si="122"/>
        <v>18702.38</v>
      </c>
      <c r="Z530" s="11">
        <f t="shared" si="122"/>
        <v>18702.38</v>
      </c>
      <c r="AA530" s="11">
        <f t="shared" si="122"/>
        <v>18702.38</v>
      </c>
      <c r="AB530" s="11">
        <f t="shared" si="122"/>
        <v>18702.38</v>
      </c>
      <c r="AC530" s="11">
        <f t="shared" si="122"/>
        <v>18702.38</v>
      </c>
      <c r="AD530" s="38">
        <f t="shared" si="122"/>
        <v>18702.38</v>
      </c>
      <c r="AE530" s="11">
        <f>SUM(AE527:AE529)</f>
        <v>224678.56000000003</v>
      </c>
    </row>
    <row r="531" spans="1:31" x14ac:dyDescent="0.2">
      <c r="C531" s="12"/>
    </row>
    <row r="532" spans="1:31" ht="15.75" x14ac:dyDescent="0.25">
      <c r="A532" s="15"/>
      <c r="B532" s="22" t="s">
        <v>3</v>
      </c>
      <c r="C532" s="8" t="s">
        <v>175</v>
      </c>
    </row>
    <row r="533" spans="1:31" x14ac:dyDescent="0.2">
      <c r="C533" s="6" t="s">
        <v>5</v>
      </c>
    </row>
    <row r="534" spans="1:31" x14ac:dyDescent="0.2">
      <c r="C534" s="6" t="s">
        <v>6</v>
      </c>
    </row>
    <row r="535" spans="1:31" ht="13.5" thickBot="1" x14ac:dyDescent="0.25">
      <c r="C535" s="6" t="s">
        <v>7</v>
      </c>
    </row>
    <row r="536" spans="1:31" ht="13.5" thickBot="1" x14ac:dyDescent="0.25">
      <c r="C536" s="10" t="s">
        <v>176</v>
      </c>
    </row>
    <row r="537" spans="1:31" x14ac:dyDescent="0.2">
      <c r="C537" s="12"/>
    </row>
    <row r="538" spans="1:31" ht="15.75" x14ac:dyDescent="0.25">
      <c r="A538" s="15">
        <f>+A526+1</f>
        <v>60</v>
      </c>
      <c r="C538" s="19" t="s">
        <v>177</v>
      </c>
    </row>
    <row r="539" spans="1:31" x14ac:dyDescent="0.2">
      <c r="C539" s="6" t="s">
        <v>5</v>
      </c>
      <c r="S539" s="9">
        <v>0</v>
      </c>
      <c r="T539" s="9">
        <v>0</v>
      </c>
      <c r="U539" s="9">
        <v>0</v>
      </c>
      <c r="V539" s="9">
        <v>0</v>
      </c>
      <c r="W539" s="9">
        <v>0</v>
      </c>
      <c r="X539" s="9">
        <v>0</v>
      </c>
      <c r="Y539" s="9">
        <v>0</v>
      </c>
      <c r="Z539" s="9">
        <v>0</v>
      </c>
      <c r="AA539" s="9">
        <v>0</v>
      </c>
      <c r="AB539" s="9">
        <v>0</v>
      </c>
      <c r="AC539" s="9">
        <v>0</v>
      </c>
      <c r="AD539" s="25">
        <v>0</v>
      </c>
      <c r="AE539" s="9">
        <f>SUM(S539:AD539)</f>
        <v>0</v>
      </c>
    </row>
    <row r="540" spans="1:31" x14ac:dyDescent="0.2">
      <c r="C540" s="6" t="s">
        <v>6</v>
      </c>
      <c r="S540" s="20">
        <v>250</v>
      </c>
      <c r="AE540" s="9">
        <f>SUM(S540:AD540)</f>
        <v>250</v>
      </c>
    </row>
    <row r="541" spans="1:31" ht="13.5" thickBot="1" x14ac:dyDescent="0.25">
      <c r="C541" s="6" t="s">
        <v>7</v>
      </c>
      <c r="S541" s="20">
        <f t="shared" ref="S541:AB541" si="123">38333.33+93168.75</f>
        <v>131502.08000000002</v>
      </c>
      <c r="T541" s="20">
        <f t="shared" si="123"/>
        <v>131502.08000000002</v>
      </c>
      <c r="U541" s="20">
        <f t="shared" si="123"/>
        <v>131502.08000000002</v>
      </c>
      <c r="V541" s="20">
        <f t="shared" si="123"/>
        <v>131502.08000000002</v>
      </c>
      <c r="W541" s="20">
        <f t="shared" si="123"/>
        <v>131502.08000000002</v>
      </c>
      <c r="X541" s="20">
        <f t="shared" si="123"/>
        <v>131502.08000000002</v>
      </c>
      <c r="Y541" s="20">
        <f t="shared" si="123"/>
        <v>131502.08000000002</v>
      </c>
      <c r="Z541" s="20">
        <f t="shared" si="123"/>
        <v>131502.08000000002</v>
      </c>
      <c r="AA541" s="20">
        <f t="shared" si="123"/>
        <v>131502.08000000002</v>
      </c>
      <c r="AB541" s="20">
        <f t="shared" si="123"/>
        <v>131502.08000000002</v>
      </c>
      <c r="AC541" s="20">
        <f>38333.37+93168.75</f>
        <v>131502.12</v>
      </c>
      <c r="AD541" s="37">
        <f>40000+91443.75</f>
        <v>131443.75</v>
      </c>
      <c r="AE541" s="9">
        <f>SUM(S541:AD541)</f>
        <v>1577966.6700000004</v>
      </c>
    </row>
    <row r="542" spans="1:31" ht="13.5" thickBot="1" x14ac:dyDescent="0.25">
      <c r="C542" s="10" t="s">
        <v>178</v>
      </c>
      <c r="S542" s="11">
        <f t="shared" ref="S542:AD542" si="124">SUM(S539:S541)</f>
        <v>131752.08000000002</v>
      </c>
      <c r="T542" s="11">
        <f t="shared" si="124"/>
        <v>131502.08000000002</v>
      </c>
      <c r="U542" s="11">
        <f t="shared" si="124"/>
        <v>131502.08000000002</v>
      </c>
      <c r="V542" s="11">
        <f t="shared" si="124"/>
        <v>131502.08000000002</v>
      </c>
      <c r="W542" s="11">
        <f t="shared" si="124"/>
        <v>131502.08000000002</v>
      </c>
      <c r="X542" s="11">
        <f t="shared" si="124"/>
        <v>131502.08000000002</v>
      </c>
      <c r="Y542" s="11">
        <f t="shared" si="124"/>
        <v>131502.08000000002</v>
      </c>
      <c r="Z542" s="11">
        <f t="shared" si="124"/>
        <v>131502.08000000002</v>
      </c>
      <c r="AA542" s="11">
        <f t="shared" si="124"/>
        <v>131502.08000000002</v>
      </c>
      <c r="AB542" s="11">
        <f t="shared" si="124"/>
        <v>131502.08000000002</v>
      </c>
      <c r="AC542" s="11">
        <f t="shared" si="124"/>
        <v>131502.12</v>
      </c>
      <c r="AD542" s="38">
        <f t="shared" si="124"/>
        <v>131443.75</v>
      </c>
      <c r="AE542" s="11">
        <f>SUM(AE539:AE541)</f>
        <v>1578216.6700000004</v>
      </c>
    </row>
    <row r="543" spans="1:31" x14ac:dyDescent="0.2">
      <c r="C543" s="12"/>
    </row>
    <row r="544" spans="1:31" ht="15.75" x14ac:dyDescent="0.25">
      <c r="A544" s="15">
        <f>+A538+1</f>
        <v>61</v>
      </c>
      <c r="C544" s="19" t="s">
        <v>179</v>
      </c>
    </row>
    <row r="545" spans="1:31" x14ac:dyDescent="0.2">
      <c r="C545" s="6" t="s">
        <v>5</v>
      </c>
      <c r="S545" s="20">
        <v>4578.33</v>
      </c>
      <c r="T545" s="20">
        <v>4578.33</v>
      </c>
      <c r="U545" s="20">
        <v>4578.33</v>
      </c>
      <c r="V545" s="20">
        <v>4578.33</v>
      </c>
      <c r="W545" s="20">
        <v>4578.33</v>
      </c>
      <c r="X545" s="20">
        <v>4578.33</v>
      </c>
      <c r="Y545" s="20">
        <v>4578.33</v>
      </c>
      <c r="Z545" s="20">
        <v>4578.33</v>
      </c>
      <c r="AA545" s="20">
        <v>4578.33</v>
      </c>
      <c r="AB545" s="20">
        <v>4578.33</v>
      </c>
      <c r="AC545" s="20">
        <v>4553.33</v>
      </c>
      <c r="AD545" s="37">
        <v>4553.33</v>
      </c>
      <c r="AE545" s="9">
        <f>SUM(S545:AD545)</f>
        <v>54889.960000000014</v>
      </c>
    </row>
    <row r="546" spans="1:31" x14ac:dyDescent="0.2">
      <c r="C546" s="6" t="s">
        <v>6</v>
      </c>
      <c r="S546" s="20">
        <v>250</v>
      </c>
      <c r="AE546" s="9">
        <f>SUM(S546:AD546)</f>
        <v>250</v>
      </c>
    </row>
    <row r="547" spans="1:31" ht="13.5" thickBot="1" x14ac:dyDescent="0.25">
      <c r="C547" s="6" t="s">
        <v>7</v>
      </c>
      <c r="S547" s="20">
        <f t="shared" ref="S547:V547" si="125">25000+228070.83</f>
        <v>253070.83</v>
      </c>
      <c r="T547" s="20">
        <f t="shared" si="125"/>
        <v>253070.83</v>
      </c>
      <c r="U547" s="20">
        <f t="shared" si="125"/>
        <v>253070.83</v>
      </c>
      <c r="V547" s="20">
        <f t="shared" si="125"/>
        <v>253070.83</v>
      </c>
      <c r="W547" s="20">
        <f>25000+228070.85</f>
        <v>253070.85</v>
      </c>
      <c r="X547" s="20">
        <f>57083.33+226820.83</f>
        <v>283904.15999999997</v>
      </c>
      <c r="Y547" s="20">
        <f t="shared" ref="Y547:AD547" si="126">57083.33+226820.83</f>
        <v>283904.15999999997</v>
      </c>
      <c r="Z547" s="20">
        <f t="shared" si="126"/>
        <v>283904.15999999997</v>
      </c>
      <c r="AA547" s="20">
        <f t="shared" si="126"/>
        <v>283904.15999999997</v>
      </c>
      <c r="AB547" s="20">
        <f t="shared" si="126"/>
        <v>283904.15999999997</v>
      </c>
      <c r="AC547" s="20">
        <f>57083.33+226820.85</f>
        <v>283904.18</v>
      </c>
      <c r="AD547" s="37">
        <f t="shared" si="126"/>
        <v>283904.15999999997</v>
      </c>
      <c r="AE547" s="9">
        <f>SUM(S547:AD547)</f>
        <v>3252683.3100000005</v>
      </c>
    </row>
    <row r="548" spans="1:31" ht="13.5" thickBot="1" x14ac:dyDescent="0.25">
      <c r="C548" s="10" t="s">
        <v>180</v>
      </c>
      <c r="S548" s="11">
        <f t="shared" ref="S548:AD548" si="127">SUM(S545:S547)</f>
        <v>257899.15999999997</v>
      </c>
      <c r="T548" s="11">
        <f t="shared" si="127"/>
        <v>257649.15999999997</v>
      </c>
      <c r="U548" s="11">
        <f t="shared" si="127"/>
        <v>257649.15999999997</v>
      </c>
      <c r="V548" s="11">
        <f t="shared" si="127"/>
        <v>257649.15999999997</v>
      </c>
      <c r="W548" s="11">
        <f t="shared" si="127"/>
        <v>257649.18</v>
      </c>
      <c r="X548" s="11">
        <f t="shared" si="127"/>
        <v>288482.49</v>
      </c>
      <c r="Y548" s="11">
        <f t="shared" si="127"/>
        <v>288482.49</v>
      </c>
      <c r="Z548" s="11">
        <f t="shared" si="127"/>
        <v>288482.49</v>
      </c>
      <c r="AA548" s="11">
        <f t="shared" si="127"/>
        <v>288482.49</v>
      </c>
      <c r="AB548" s="11">
        <f t="shared" si="127"/>
        <v>288482.49</v>
      </c>
      <c r="AC548" s="11">
        <f t="shared" si="127"/>
        <v>288457.51</v>
      </c>
      <c r="AD548" s="38">
        <f t="shared" si="127"/>
        <v>288457.49</v>
      </c>
      <c r="AE548" s="11">
        <f>SUM(AE545:AE547)</f>
        <v>3307823.2700000005</v>
      </c>
    </row>
    <row r="549" spans="1:31" x14ac:dyDescent="0.2">
      <c r="C549" s="12"/>
    </row>
    <row r="550" spans="1:31" ht="15.75" x14ac:dyDescent="0.25">
      <c r="A550" s="15">
        <f>+A544+1</f>
        <v>62</v>
      </c>
      <c r="C550" s="19" t="s">
        <v>181</v>
      </c>
    </row>
    <row r="551" spans="1:31" x14ac:dyDescent="0.2">
      <c r="C551" s="6" t="s">
        <v>5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v>0</v>
      </c>
      <c r="Z551" s="9">
        <v>0</v>
      </c>
      <c r="AA551" s="9">
        <v>0</v>
      </c>
      <c r="AB551" s="9">
        <v>0</v>
      </c>
      <c r="AC551" s="9">
        <v>0</v>
      </c>
      <c r="AD551" s="25">
        <v>0</v>
      </c>
      <c r="AE551" s="9">
        <f>SUM(S551:AD551)</f>
        <v>0</v>
      </c>
    </row>
    <row r="552" spans="1:31" x14ac:dyDescent="0.2">
      <c r="C552" s="6" t="s">
        <v>6</v>
      </c>
      <c r="S552" s="20">
        <v>250</v>
      </c>
      <c r="AE552" s="9">
        <f>SUM(S552:AD552)</f>
        <v>250</v>
      </c>
    </row>
    <row r="553" spans="1:31" ht="13.5" thickBot="1" x14ac:dyDescent="0.25">
      <c r="C553" s="6" t="s">
        <v>7</v>
      </c>
      <c r="S553" s="20">
        <f>93000+91516.75</f>
        <v>184516.75</v>
      </c>
      <c r="T553" s="20">
        <f>93000+91214.5</f>
        <v>184214.5</v>
      </c>
      <c r="U553" s="20">
        <f>93000+90912.25</f>
        <v>183912.25</v>
      </c>
      <c r="V553" s="20">
        <f>93000+90610</f>
        <v>183610</v>
      </c>
      <c r="W553" s="20">
        <f>92000+90307.75</f>
        <v>182307.75</v>
      </c>
      <c r="X553" s="20">
        <f>90000+90008.75</f>
        <v>180008.75</v>
      </c>
      <c r="Y553" s="20">
        <f>90000+89716.25</f>
        <v>179716.25</v>
      </c>
      <c r="Z553" s="20">
        <f>90000+89423.75</f>
        <v>179423.75</v>
      </c>
      <c r="AA553" s="20">
        <f>89000+89131.25</f>
        <v>178131.25</v>
      </c>
      <c r="AB553" s="20">
        <f>88000+88842</f>
        <v>176842</v>
      </c>
      <c r="AC553" s="20">
        <f>88000+88556</f>
        <v>176556</v>
      </c>
      <c r="AD553" s="37">
        <f>97000+88270</f>
        <v>185270</v>
      </c>
      <c r="AE553" s="9">
        <f>SUM(S553:AD553)</f>
        <v>2174509.25</v>
      </c>
    </row>
    <row r="554" spans="1:31" ht="13.5" thickBot="1" x14ac:dyDescent="0.25">
      <c r="C554" s="10" t="s">
        <v>182</v>
      </c>
      <c r="S554" s="11">
        <f t="shared" ref="S554:AD554" si="128">SUM(S551:S553)</f>
        <v>184766.75</v>
      </c>
      <c r="T554" s="11">
        <f t="shared" si="128"/>
        <v>184214.5</v>
      </c>
      <c r="U554" s="11">
        <f t="shared" si="128"/>
        <v>183912.25</v>
      </c>
      <c r="V554" s="11">
        <f t="shared" si="128"/>
        <v>183610</v>
      </c>
      <c r="W554" s="11">
        <f t="shared" si="128"/>
        <v>182307.75</v>
      </c>
      <c r="X554" s="11">
        <f t="shared" si="128"/>
        <v>180008.75</v>
      </c>
      <c r="Y554" s="11">
        <f t="shared" si="128"/>
        <v>179716.25</v>
      </c>
      <c r="Z554" s="11">
        <f t="shared" si="128"/>
        <v>179423.75</v>
      </c>
      <c r="AA554" s="11">
        <f t="shared" si="128"/>
        <v>178131.25</v>
      </c>
      <c r="AB554" s="11">
        <f t="shared" si="128"/>
        <v>176842</v>
      </c>
      <c r="AC554" s="11">
        <f t="shared" si="128"/>
        <v>176556</v>
      </c>
      <c r="AD554" s="38">
        <f t="shared" si="128"/>
        <v>185270</v>
      </c>
      <c r="AE554" s="11">
        <f>SUM(AE551:AE553)</f>
        <v>2174759.25</v>
      </c>
    </row>
    <row r="555" spans="1:31" x14ac:dyDescent="0.2">
      <c r="C555" s="12"/>
    </row>
    <row r="556" spans="1:31" ht="15.75" x14ac:dyDescent="0.25">
      <c r="A556" s="15">
        <f>+A550+1</f>
        <v>63</v>
      </c>
      <c r="C556" s="19" t="s">
        <v>291</v>
      </c>
    </row>
    <row r="557" spans="1:31" x14ac:dyDescent="0.2">
      <c r="C557" s="6" t="s">
        <v>5</v>
      </c>
      <c r="S557" s="9">
        <v>0</v>
      </c>
      <c r="T557" s="9">
        <v>0</v>
      </c>
      <c r="U557" s="9">
        <v>0</v>
      </c>
      <c r="V557" s="9">
        <v>0</v>
      </c>
      <c r="W557" s="9">
        <v>0</v>
      </c>
      <c r="X557" s="9">
        <v>0</v>
      </c>
      <c r="Y557" s="9">
        <v>0</v>
      </c>
      <c r="Z557" s="9">
        <v>0</v>
      </c>
      <c r="AA557" s="9">
        <v>0</v>
      </c>
      <c r="AB557" s="9">
        <v>0</v>
      </c>
      <c r="AC557" s="9">
        <v>0</v>
      </c>
      <c r="AD557" s="25">
        <v>0</v>
      </c>
      <c r="AE557" s="9">
        <f>SUM(S557:AD557)</f>
        <v>0</v>
      </c>
    </row>
    <row r="558" spans="1:31" x14ac:dyDescent="0.2">
      <c r="C558" s="6" t="s">
        <v>6</v>
      </c>
      <c r="S558" s="20">
        <v>250</v>
      </c>
      <c r="AE558" s="9">
        <f>SUM(S558:AD558)</f>
        <v>250</v>
      </c>
    </row>
    <row r="559" spans="1:31" ht="13.5" thickBot="1" x14ac:dyDescent="0.25">
      <c r="C559" s="6" t="s">
        <v>7</v>
      </c>
      <c r="S559" s="20">
        <v>89406.25</v>
      </c>
      <c r="T559" s="20">
        <v>89406.25</v>
      </c>
      <c r="U559" s="20">
        <v>89406.25</v>
      </c>
      <c r="V559" s="20">
        <v>89406.25</v>
      </c>
      <c r="W559" s="20">
        <v>89406.25</v>
      </c>
      <c r="X559" s="20">
        <v>93937.5</v>
      </c>
      <c r="Y559" s="20">
        <v>93937.5</v>
      </c>
      <c r="Z559" s="20">
        <v>66750</v>
      </c>
      <c r="AA559" s="20">
        <v>66750</v>
      </c>
      <c r="AB559" s="20">
        <v>66750</v>
      </c>
      <c r="AC559" s="20">
        <v>66750</v>
      </c>
      <c r="AD559" s="37">
        <f>29166.67+66750</f>
        <v>95916.67</v>
      </c>
      <c r="AE559" s="9">
        <f>SUM(S559:AD559)</f>
        <v>997822.92</v>
      </c>
    </row>
    <row r="560" spans="1:31" ht="13.5" thickBot="1" x14ac:dyDescent="0.25">
      <c r="C560" s="10" t="s">
        <v>183</v>
      </c>
      <c r="S560" s="11">
        <f t="shared" ref="S560:AD560" si="129">SUM(S557:S559)</f>
        <v>89656.25</v>
      </c>
      <c r="T560" s="11">
        <f t="shared" si="129"/>
        <v>89406.25</v>
      </c>
      <c r="U560" s="11">
        <f t="shared" si="129"/>
        <v>89406.25</v>
      </c>
      <c r="V560" s="11">
        <f t="shared" si="129"/>
        <v>89406.25</v>
      </c>
      <c r="W560" s="11">
        <f t="shared" si="129"/>
        <v>89406.25</v>
      </c>
      <c r="X560" s="11">
        <f t="shared" si="129"/>
        <v>93937.5</v>
      </c>
      <c r="Y560" s="11">
        <f t="shared" si="129"/>
        <v>93937.5</v>
      </c>
      <c r="Z560" s="11">
        <f t="shared" si="129"/>
        <v>66750</v>
      </c>
      <c r="AA560" s="11">
        <f t="shared" si="129"/>
        <v>66750</v>
      </c>
      <c r="AB560" s="11">
        <f t="shared" si="129"/>
        <v>66750</v>
      </c>
      <c r="AC560" s="11">
        <f t="shared" si="129"/>
        <v>66750</v>
      </c>
      <c r="AD560" s="38">
        <f t="shared" si="129"/>
        <v>95916.67</v>
      </c>
      <c r="AE560" s="11">
        <f>SUM(AE557:AE559)</f>
        <v>998072.92</v>
      </c>
    </row>
    <row r="561" spans="1:31" x14ac:dyDescent="0.2">
      <c r="C561" s="12"/>
    </row>
    <row r="562" spans="1:31" ht="15.75" x14ac:dyDescent="0.25">
      <c r="A562" s="15">
        <f>+A556+1</f>
        <v>64</v>
      </c>
      <c r="C562" s="19" t="s">
        <v>184</v>
      </c>
    </row>
    <row r="563" spans="1:31" x14ac:dyDescent="0.2">
      <c r="C563" s="6" t="s">
        <v>5</v>
      </c>
      <c r="S563" s="9">
        <v>1247.5</v>
      </c>
      <c r="T563" s="9">
        <v>1247.5</v>
      </c>
      <c r="U563" s="9">
        <v>1247.5</v>
      </c>
      <c r="V563" s="9">
        <v>1247.5</v>
      </c>
      <c r="W563" s="9">
        <v>1247.5</v>
      </c>
      <c r="X563" s="9">
        <v>1247.5</v>
      </c>
      <c r="Y563" s="9">
        <v>1247.5</v>
      </c>
      <c r="Z563" s="9">
        <v>1247.5</v>
      </c>
      <c r="AA563" s="9">
        <v>1247.5</v>
      </c>
      <c r="AB563" s="9">
        <v>1247.5</v>
      </c>
      <c r="AC563" s="9">
        <v>1247.5</v>
      </c>
      <c r="AD563" s="25">
        <v>1225.83</v>
      </c>
      <c r="AE563" s="9">
        <f>SUM(S563:AD563)</f>
        <v>14948.33</v>
      </c>
    </row>
    <row r="564" spans="1:31" x14ac:dyDescent="0.2">
      <c r="C564" s="6" t="s">
        <v>6</v>
      </c>
      <c r="S564" s="20">
        <v>250</v>
      </c>
      <c r="AE564" s="9">
        <f>SUM(S564:AD564)</f>
        <v>250</v>
      </c>
    </row>
    <row r="565" spans="1:31" ht="13.5" thickBot="1" x14ac:dyDescent="0.25">
      <c r="C565" s="6" t="s">
        <v>7</v>
      </c>
      <c r="S565" s="20">
        <f t="shared" ref="S565:AB565" si="130">21666.67+62354.17</f>
        <v>84020.84</v>
      </c>
      <c r="T565" s="20">
        <f t="shared" si="130"/>
        <v>84020.84</v>
      </c>
      <c r="U565" s="20">
        <f t="shared" si="130"/>
        <v>84020.84</v>
      </c>
      <c r="V565" s="20">
        <f t="shared" si="130"/>
        <v>84020.84</v>
      </c>
      <c r="W565" s="20">
        <f>21666.67+62354.15</f>
        <v>84020.82</v>
      </c>
      <c r="X565" s="20">
        <f t="shared" si="130"/>
        <v>84020.84</v>
      </c>
      <c r="Y565" s="20">
        <f t="shared" si="130"/>
        <v>84020.84</v>
      </c>
      <c r="Z565" s="20">
        <f t="shared" si="130"/>
        <v>84020.84</v>
      </c>
      <c r="AA565" s="20">
        <f t="shared" si="130"/>
        <v>84020.84</v>
      </c>
      <c r="AB565" s="20">
        <f t="shared" si="130"/>
        <v>84020.84</v>
      </c>
      <c r="AC565" s="20">
        <f>21666.63+62354.15</f>
        <v>84020.78</v>
      </c>
      <c r="AD565" s="37">
        <f>22500+61291.67</f>
        <v>83791.67</v>
      </c>
      <c r="AE565" s="9">
        <f>SUM(S565:AD565)</f>
        <v>1008020.83</v>
      </c>
    </row>
    <row r="566" spans="1:31" ht="13.5" thickBot="1" x14ac:dyDescent="0.25">
      <c r="C566" s="10" t="s">
        <v>185</v>
      </c>
      <c r="S566" s="11">
        <f t="shared" ref="S566:AD566" si="131">SUM(S563:S565)</f>
        <v>85518.34</v>
      </c>
      <c r="T566" s="11">
        <f t="shared" si="131"/>
        <v>85268.34</v>
      </c>
      <c r="U566" s="11">
        <f t="shared" si="131"/>
        <v>85268.34</v>
      </c>
      <c r="V566" s="11">
        <f t="shared" si="131"/>
        <v>85268.34</v>
      </c>
      <c r="W566" s="11">
        <f t="shared" si="131"/>
        <v>85268.32</v>
      </c>
      <c r="X566" s="11">
        <f t="shared" si="131"/>
        <v>85268.34</v>
      </c>
      <c r="Y566" s="11">
        <f t="shared" si="131"/>
        <v>85268.34</v>
      </c>
      <c r="Z566" s="11">
        <f t="shared" si="131"/>
        <v>85268.34</v>
      </c>
      <c r="AA566" s="11">
        <f t="shared" si="131"/>
        <v>85268.34</v>
      </c>
      <c r="AB566" s="11">
        <f t="shared" si="131"/>
        <v>85268.34</v>
      </c>
      <c r="AC566" s="11">
        <f t="shared" si="131"/>
        <v>85268.28</v>
      </c>
      <c r="AD566" s="38">
        <f t="shared" si="131"/>
        <v>85017.5</v>
      </c>
      <c r="AE566" s="11">
        <f>SUM(AE563:AE565)</f>
        <v>1023219.1599999999</v>
      </c>
    </row>
    <row r="567" spans="1:31" x14ac:dyDescent="0.2">
      <c r="C567" s="12"/>
    </row>
    <row r="568" spans="1:31" ht="15.75" x14ac:dyDescent="0.25">
      <c r="A568" s="15">
        <f>+A562+1</f>
        <v>65</v>
      </c>
      <c r="C568" s="19" t="s">
        <v>186</v>
      </c>
    </row>
    <row r="569" spans="1:31" x14ac:dyDescent="0.2">
      <c r="C569" s="6" t="s">
        <v>5</v>
      </c>
      <c r="S569" s="9">
        <v>0</v>
      </c>
      <c r="T569" s="9">
        <v>0</v>
      </c>
      <c r="U569" s="9">
        <v>0</v>
      </c>
      <c r="V569" s="9">
        <v>0</v>
      </c>
      <c r="W569" s="9">
        <v>0</v>
      </c>
      <c r="X569" s="9">
        <v>0</v>
      </c>
      <c r="Y569" s="9">
        <v>0</v>
      </c>
      <c r="Z569" s="9">
        <v>0</v>
      </c>
      <c r="AA569" s="9">
        <v>0</v>
      </c>
      <c r="AB569" s="9">
        <v>0</v>
      </c>
      <c r="AC569" s="9">
        <v>0</v>
      </c>
      <c r="AD569" s="25">
        <v>0</v>
      </c>
      <c r="AE569" s="9">
        <f>SUM(S569:AD569)</f>
        <v>0</v>
      </c>
    </row>
    <row r="570" spans="1:31" x14ac:dyDescent="0.2">
      <c r="C570" s="6" t="s">
        <v>6</v>
      </c>
      <c r="S570" s="20">
        <v>250</v>
      </c>
      <c r="AE570" s="9">
        <f>SUM(S570:AD570)</f>
        <v>250</v>
      </c>
    </row>
    <row r="571" spans="1:31" ht="13.5" thickBot="1" x14ac:dyDescent="0.25">
      <c r="C571" s="6" t="s">
        <v>7</v>
      </c>
      <c r="S571" s="20">
        <f t="shared" ref="S571:AB571" si="132">107473.96-7392.5</f>
        <v>100081.46</v>
      </c>
      <c r="T571" s="20">
        <f t="shared" si="132"/>
        <v>100081.46</v>
      </c>
      <c r="U571" s="20">
        <f t="shared" si="132"/>
        <v>100081.46</v>
      </c>
      <c r="V571" s="20">
        <f t="shared" si="132"/>
        <v>100081.46</v>
      </c>
      <c r="W571" s="20">
        <f t="shared" si="132"/>
        <v>100081.46</v>
      </c>
      <c r="X571" s="20">
        <f t="shared" si="132"/>
        <v>100081.46</v>
      </c>
      <c r="Y571" s="20">
        <f t="shared" si="132"/>
        <v>100081.46</v>
      </c>
      <c r="Z571" s="20">
        <f t="shared" si="132"/>
        <v>100081.46</v>
      </c>
      <c r="AA571" s="20">
        <f t="shared" si="132"/>
        <v>100081.46</v>
      </c>
      <c r="AB571" s="20">
        <f t="shared" si="132"/>
        <v>100081.46</v>
      </c>
      <c r="AC571" s="20">
        <f>107473.94-7392.56</f>
        <v>100081.38</v>
      </c>
      <c r="AD571" s="37">
        <f>107473.96-3060.25</f>
        <v>104413.71</v>
      </c>
      <c r="AE571" s="9">
        <f>SUM(S571:AD571)</f>
        <v>1205309.69</v>
      </c>
    </row>
    <row r="572" spans="1:31" ht="13.5" thickBot="1" x14ac:dyDescent="0.25">
      <c r="C572" s="10" t="s">
        <v>187</v>
      </c>
      <c r="S572" s="11">
        <f t="shared" ref="S572:AD572" si="133">SUM(S569:S571)</f>
        <v>100331.46</v>
      </c>
      <c r="T572" s="11">
        <f t="shared" si="133"/>
        <v>100081.46</v>
      </c>
      <c r="U572" s="11">
        <f t="shared" si="133"/>
        <v>100081.46</v>
      </c>
      <c r="V572" s="11">
        <f t="shared" si="133"/>
        <v>100081.46</v>
      </c>
      <c r="W572" s="11">
        <f t="shared" si="133"/>
        <v>100081.46</v>
      </c>
      <c r="X572" s="11">
        <f t="shared" si="133"/>
        <v>100081.46</v>
      </c>
      <c r="Y572" s="11">
        <f t="shared" si="133"/>
        <v>100081.46</v>
      </c>
      <c r="Z572" s="11">
        <f t="shared" si="133"/>
        <v>100081.46</v>
      </c>
      <c r="AA572" s="11">
        <f t="shared" si="133"/>
        <v>100081.46</v>
      </c>
      <c r="AB572" s="11">
        <f t="shared" si="133"/>
        <v>100081.46</v>
      </c>
      <c r="AC572" s="11">
        <f t="shared" si="133"/>
        <v>100081.38</v>
      </c>
      <c r="AD572" s="38">
        <f t="shared" si="133"/>
        <v>104413.71</v>
      </c>
      <c r="AE572" s="11">
        <f>SUM(AE569:AE571)</f>
        <v>1205559.69</v>
      </c>
    </row>
    <row r="573" spans="1:31" x14ac:dyDescent="0.2">
      <c r="C573" s="12"/>
    </row>
    <row r="574" spans="1:31" ht="15.75" x14ac:dyDescent="0.25">
      <c r="A574" s="15">
        <f>+A568+1</f>
        <v>66</v>
      </c>
      <c r="C574" s="19" t="s">
        <v>188</v>
      </c>
    </row>
    <row r="575" spans="1:31" x14ac:dyDescent="0.2">
      <c r="C575" s="6" t="s">
        <v>5</v>
      </c>
      <c r="S575" s="20">
        <v>604.58000000000004</v>
      </c>
      <c r="T575" s="20">
        <v>604.58000000000004</v>
      </c>
      <c r="U575" s="20">
        <v>604.58000000000004</v>
      </c>
      <c r="V575" s="20">
        <v>604.58000000000004</v>
      </c>
      <c r="W575" s="20">
        <v>604.58000000000004</v>
      </c>
      <c r="X575" s="20">
        <v>604.58000000000004</v>
      </c>
      <c r="Y575" s="20">
        <v>604.58000000000004</v>
      </c>
      <c r="Z575" s="20">
        <v>604.58000000000004</v>
      </c>
      <c r="AA575" s="20">
        <v>604.58000000000004</v>
      </c>
      <c r="AB575" s="20">
        <v>604.58000000000004</v>
      </c>
      <c r="AC575" s="20">
        <v>604.58000000000004</v>
      </c>
      <c r="AD575" s="37">
        <v>604.58000000000004</v>
      </c>
      <c r="AE575" s="9">
        <f>SUM(S575:AD575)</f>
        <v>7254.96</v>
      </c>
    </row>
    <row r="576" spans="1:31" x14ac:dyDescent="0.2">
      <c r="C576" s="6" t="s">
        <v>6</v>
      </c>
      <c r="S576" s="20">
        <v>250</v>
      </c>
      <c r="AE576" s="9">
        <f>SUM(S576:AD576)</f>
        <v>250</v>
      </c>
    </row>
    <row r="577" spans="1:31" ht="13.5" thickBot="1" x14ac:dyDescent="0.25">
      <c r="C577" s="6" t="s">
        <v>7</v>
      </c>
      <c r="S577" s="20">
        <f t="shared" ref="S577" si="134">15000+15313.54</f>
        <v>30313.54</v>
      </c>
      <c r="T577" s="20">
        <f>15000+15313.55</f>
        <v>30313.55</v>
      </c>
      <c r="U577" s="20">
        <f>15416.67+14788.54</f>
        <v>30205.21</v>
      </c>
      <c r="V577" s="20">
        <f t="shared" ref="V577:AD577" si="135">15416.67+14788.54</f>
        <v>30205.21</v>
      </c>
      <c r="W577" s="20">
        <f t="shared" si="135"/>
        <v>30205.21</v>
      </c>
      <c r="X577" s="20">
        <f t="shared" si="135"/>
        <v>30205.21</v>
      </c>
      <c r="Y577" s="20">
        <f t="shared" si="135"/>
        <v>30205.21</v>
      </c>
      <c r="Z577" s="20">
        <f>15416.67+14788.55</f>
        <v>30205.22</v>
      </c>
      <c r="AA577" s="20">
        <f t="shared" si="135"/>
        <v>30205.21</v>
      </c>
      <c r="AB577" s="20">
        <f t="shared" si="135"/>
        <v>30205.21</v>
      </c>
      <c r="AC577" s="20">
        <f t="shared" si="135"/>
        <v>30205.21</v>
      </c>
      <c r="AD577" s="37">
        <f t="shared" si="135"/>
        <v>30205.21</v>
      </c>
      <c r="AE577" s="9">
        <f>SUM(S577:AD577)</f>
        <v>362679.2</v>
      </c>
    </row>
    <row r="578" spans="1:31" ht="13.5" thickBot="1" x14ac:dyDescent="0.25">
      <c r="C578" s="10" t="s">
        <v>48</v>
      </c>
      <c r="S578" s="11">
        <f t="shared" ref="S578:AD578" si="136">SUM(S575:S577)</f>
        <v>31168.120000000003</v>
      </c>
      <c r="T578" s="11">
        <f t="shared" si="136"/>
        <v>30918.13</v>
      </c>
      <c r="U578" s="11">
        <f t="shared" si="136"/>
        <v>30809.79</v>
      </c>
      <c r="V578" s="11">
        <f t="shared" si="136"/>
        <v>30809.79</v>
      </c>
      <c r="W578" s="11">
        <f t="shared" si="136"/>
        <v>30809.79</v>
      </c>
      <c r="X578" s="11">
        <f t="shared" si="136"/>
        <v>30809.79</v>
      </c>
      <c r="Y578" s="11">
        <f t="shared" si="136"/>
        <v>30809.79</v>
      </c>
      <c r="Z578" s="11">
        <f t="shared" si="136"/>
        <v>30809.800000000003</v>
      </c>
      <c r="AA578" s="11">
        <f t="shared" si="136"/>
        <v>30809.79</v>
      </c>
      <c r="AB578" s="11">
        <f t="shared" si="136"/>
        <v>30809.79</v>
      </c>
      <c r="AC578" s="11">
        <f t="shared" si="136"/>
        <v>30809.79</v>
      </c>
      <c r="AD578" s="38">
        <f t="shared" si="136"/>
        <v>30809.79</v>
      </c>
      <c r="AE578" s="11">
        <f>SUM(AE575:AE577)</f>
        <v>370184.16000000003</v>
      </c>
    </row>
    <row r="579" spans="1:31" x14ac:dyDescent="0.2">
      <c r="C579" s="12"/>
    </row>
    <row r="580" spans="1:31" ht="15.75" x14ac:dyDescent="0.25">
      <c r="A580" s="15">
        <f>+A574+1</f>
        <v>67</v>
      </c>
      <c r="C580" s="19" t="s">
        <v>189</v>
      </c>
    </row>
    <row r="581" spans="1:31" x14ac:dyDescent="0.2">
      <c r="C581" s="6" t="s">
        <v>5</v>
      </c>
      <c r="S581" s="9">
        <v>0</v>
      </c>
      <c r="T581" s="9">
        <v>0</v>
      </c>
      <c r="U581" s="9">
        <v>0</v>
      </c>
      <c r="V581" s="9">
        <v>0</v>
      </c>
      <c r="W581" s="9">
        <v>0</v>
      </c>
      <c r="X581" s="9">
        <v>0</v>
      </c>
      <c r="Y581" s="9">
        <v>0</v>
      </c>
      <c r="Z581" s="9">
        <v>0</v>
      </c>
      <c r="AA581" s="9">
        <v>0</v>
      </c>
      <c r="AB581" s="9">
        <v>0</v>
      </c>
      <c r="AC581" s="9">
        <v>0</v>
      </c>
      <c r="AD581" s="25">
        <v>0</v>
      </c>
      <c r="AE581" s="9">
        <f>SUM(S581:AD581)</f>
        <v>0</v>
      </c>
    </row>
    <row r="582" spans="1:31" x14ac:dyDescent="0.2">
      <c r="C582" s="6" t="s">
        <v>6</v>
      </c>
      <c r="S582" s="20">
        <v>250</v>
      </c>
      <c r="AE582" s="9">
        <f>SUM(S582:AD582)</f>
        <v>250</v>
      </c>
    </row>
    <row r="583" spans="1:31" ht="13.5" thickBot="1" x14ac:dyDescent="0.25">
      <c r="C583" s="6" t="s">
        <v>7</v>
      </c>
      <c r="S583" s="9">
        <v>31457.29</v>
      </c>
      <c r="T583" s="9">
        <v>31457.29</v>
      </c>
      <c r="U583" s="9">
        <v>31457.29</v>
      </c>
      <c r="V583" s="9">
        <v>31457.29</v>
      </c>
      <c r="W583" s="9">
        <v>31457.3</v>
      </c>
      <c r="X583" s="9">
        <v>31457.29</v>
      </c>
      <c r="Y583" s="9">
        <v>31457.29</v>
      </c>
      <c r="Z583" s="9">
        <v>31457.29</v>
      </c>
      <c r="AA583" s="9">
        <v>31457.29</v>
      </c>
      <c r="AB583" s="9">
        <v>31457.29</v>
      </c>
      <c r="AC583" s="9">
        <v>31457.3</v>
      </c>
      <c r="AD583" s="25">
        <f>10416.67+31457.29</f>
        <v>41873.96</v>
      </c>
      <c r="AE583" s="9">
        <f>SUM(S583:AD583)</f>
        <v>387904.17</v>
      </c>
    </row>
    <row r="584" spans="1:31" ht="13.5" thickBot="1" x14ac:dyDescent="0.25">
      <c r="C584" s="10" t="s">
        <v>190</v>
      </c>
      <c r="S584" s="11">
        <f t="shared" ref="S584:AD584" si="137">SUM(S581:S583)</f>
        <v>31707.29</v>
      </c>
      <c r="T584" s="11">
        <f t="shared" si="137"/>
        <v>31457.29</v>
      </c>
      <c r="U584" s="11">
        <f t="shared" si="137"/>
        <v>31457.29</v>
      </c>
      <c r="V584" s="11">
        <f t="shared" si="137"/>
        <v>31457.29</v>
      </c>
      <c r="W584" s="11">
        <f t="shared" si="137"/>
        <v>31457.3</v>
      </c>
      <c r="X584" s="11">
        <f t="shared" si="137"/>
        <v>31457.29</v>
      </c>
      <c r="Y584" s="11">
        <f t="shared" si="137"/>
        <v>31457.29</v>
      </c>
      <c r="Z584" s="11">
        <f t="shared" si="137"/>
        <v>31457.29</v>
      </c>
      <c r="AA584" s="11">
        <f t="shared" si="137"/>
        <v>31457.29</v>
      </c>
      <c r="AB584" s="11">
        <f t="shared" si="137"/>
        <v>31457.29</v>
      </c>
      <c r="AC584" s="11">
        <f t="shared" si="137"/>
        <v>31457.3</v>
      </c>
      <c r="AD584" s="38">
        <f t="shared" si="137"/>
        <v>41873.96</v>
      </c>
      <c r="AE584" s="11">
        <f>SUM(AE581:AE583)</f>
        <v>388154.17</v>
      </c>
    </row>
    <row r="585" spans="1:31" x14ac:dyDescent="0.2">
      <c r="C585" s="12"/>
    </row>
    <row r="586" spans="1:31" ht="15.75" x14ac:dyDescent="0.25">
      <c r="A586" s="15">
        <f>+A580+1</f>
        <v>68</v>
      </c>
      <c r="B586"/>
      <c r="C586" s="19" t="s">
        <v>191</v>
      </c>
    </row>
    <row r="587" spans="1:31" x14ac:dyDescent="0.2">
      <c r="C587" s="6" t="s">
        <v>5</v>
      </c>
      <c r="S587" s="9">
        <v>858.75</v>
      </c>
      <c r="T587" s="9">
        <v>858.75</v>
      </c>
      <c r="U587" s="9">
        <v>858.75</v>
      </c>
      <c r="V587" s="9">
        <v>858.75</v>
      </c>
      <c r="W587" s="9">
        <v>858.75</v>
      </c>
      <c r="X587" s="9">
        <v>858.75</v>
      </c>
      <c r="Y587" s="9">
        <v>858.75</v>
      </c>
      <c r="Z587" s="9">
        <v>858.75</v>
      </c>
      <c r="AA587" s="9">
        <v>858.75</v>
      </c>
      <c r="AB587" s="9">
        <v>858.75</v>
      </c>
      <c r="AC587" s="9">
        <v>858.75</v>
      </c>
      <c r="AD587" s="25">
        <v>858.75</v>
      </c>
      <c r="AE587" s="9">
        <f>SUM(S587:AD587)</f>
        <v>10305</v>
      </c>
    </row>
    <row r="588" spans="1:31" x14ac:dyDescent="0.2">
      <c r="C588" s="6" t="s">
        <v>6</v>
      </c>
      <c r="S588" s="20">
        <v>250</v>
      </c>
      <c r="AE588" s="9">
        <f>SUM(S588:AD588)</f>
        <v>250</v>
      </c>
    </row>
    <row r="589" spans="1:31" ht="13.5" thickBot="1" x14ac:dyDescent="0.25">
      <c r="C589" s="6" t="s">
        <v>7</v>
      </c>
      <c r="S589" s="9">
        <v>34350</v>
      </c>
      <c r="T589" s="9">
        <v>34350</v>
      </c>
      <c r="U589" s="9">
        <v>34350</v>
      </c>
      <c r="V589" s="9">
        <v>34350</v>
      </c>
      <c r="W589" s="9">
        <v>34350</v>
      </c>
      <c r="X589" s="9">
        <v>34350</v>
      </c>
      <c r="Y589" s="9">
        <v>34350</v>
      </c>
      <c r="Z589" s="9">
        <v>34350</v>
      </c>
      <c r="AA589" s="9">
        <v>34350</v>
      </c>
      <c r="AB589" s="9">
        <v>34350</v>
      </c>
      <c r="AC589" s="9">
        <v>34350</v>
      </c>
      <c r="AD589" s="25">
        <v>34350</v>
      </c>
      <c r="AE589" s="9">
        <f>SUM(S589:AD589)</f>
        <v>412200</v>
      </c>
    </row>
    <row r="590" spans="1:31" ht="13.5" thickBot="1" x14ac:dyDescent="0.25">
      <c r="C590" s="10" t="s">
        <v>87</v>
      </c>
      <c r="S590" s="11">
        <f t="shared" ref="S590:AD590" si="138">SUM(S587:S589)</f>
        <v>35458.75</v>
      </c>
      <c r="T590" s="11">
        <f t="shared" si="138"/>
        <v>35208.75</v>
      </c>
      <c r="U590" s="11">
        <f t="shared" si="138"/>
        <v>35208.75</v>
      </c>
      <c r="V590" s="11">
        <f t="shared" si="138"/>
        <v>35208.75</v>
      </c>
      <c r="W590" s="11">
        <f t="shared" si="138"/>
        <v>35208.75</v>
      </c>
      <c r="X590" s="11">
        <f t="shared" si="138"/>
        <v>35208.75</v>
      </c>
      <c r="Y590" s="11">
        <f t="shared" si="138"/>
        <v>35208.75</v>
      </c>
      <c r="Z590" s="11">
        <f t="shared" si="138"/>
        <v>35208.75</v>
      </c>
      <c r="AA590" s="11">
        <f t="shared" si="138"/>
        <v>35208.75</v>
      </c>
      <c r="AB590" s="11">
        <f t="shared" si="138"/>
        <v>35208.75</v>
      </c>
      <c r="AC590" s="11">
        <f t="shared" si="138"/>
        <v>35208.75</v>
      </c>
      <c r="AD590" s="38">
        <f t="shared" si="138"/>
        <v>35208.75</v>
      </c>
      <c r="AE590" s="11">
        <f>SUM(AE587:AE589)</f>
        <v>422755</v>
      </c>
    </row>
    <row r="591" spans="1:31" x14ac:dyDescent="0.2">
      <c r="C591" s="12"/>
    </row>
    <row r="592" spans="1:31" ht="15.75" x14ac:dyDescent="0.25">
      <c r="A592" s="15">
        <f>+A586+1</f>
        <v>69</v>
      </c>
      <c r="C592" s="19" t="s">
        <v>192</v>
      </c>
    </row>
    <row r="593" spans="1:31" x14ac:dyDescent="0.2">
      <c r="C593" s="6" t="s">
        <v>5</v>
      </c>
      <c r="S593" s="9">
        <v>0</v>
      </c>
      <c r="T593" s="9">
        <v>0</v>
      </c>
      <c r="U593" s="9">
        <v>0</v>
      </c>
      <c r="V593" s="9">
        <v>0</v>
      </c>
      <c r="W593" s="9">
        <v>0</v>
      </c>
      <c r="X593" s="9">
        <v>0</v>
      </c>
      <c r="Y593" s="9">
        <v>0</v>
      </c>
      <c r="Z593" s="9">
        <v>0</v>
      </c>
      <c r="AA593" s="9">
        <v>0</v>
      </c>
      <c r="AB593" s="9">
        <v>0</v>
      </c>
      <c r="AC593" s="9">
        <v>0</v>
      </c>
      <c r="AD593" s="25">
        <v>0</v>
      </c>
      <c r="AE593" s="9">
        <f>SUM(S593:AD593)</f>
        <v>0</v>
      </c>
    </row>
    <row r="594" spans="1:31" x14ac:dyDescent="0.2">
      <c r="C594" s="6" t="s">
        <v>6</v>
      </c>
      <c r="S594" s="20">
        <v>250</v>
      </c>
      <c r="AE594" s="9">
        <f>SUM(S594:AD594)</f>
        <v>250</v>
      </c>
    </row>
    <row r="595" spans="1:31" ht="13.5" thickBot="1" x14ac:dyDescent="0.25">
      <c r="C595" s="6" t="s">
        <v>7</v>
      </c>
      <c r="S595" s="20">
        <f>15833.33+64735.42</f>
        <v>80568.75</v>
      </c>
      <c r="T595" s="20">
        <f>15833.33+64735.42</f>
        <v>80568.75</v>
      </c>
      <c r="U595" s="20">
        <f>15833.33+64735.42</f>
        <v>80568.75</v>
      </c>
      <c r="V595" s="20">
        <f>15833.33+64735.42</f>
        <v>80568.75</v>
      </c>
      <c r="W595" s="20">
        <f>15833.33+64735.42</f>
        <v>80568.75</v>
      </c>
      <c r="X595" s="20">
        <f t="shared" ref="X595:AC595" si="139">16666.67+64400</f>
        <v>81066.67</v>
      </c>
      <c r="Y595" s="20">
        <f t="shared" si="139"/>
        <v>81066.67</v>
      </c>
      <c r="Z595" s="20">
        <f t="shared" si="139"/>
        <v>81066.67</v>
      </c>
      <c r="AA595" s="20">
        <f t="shared" si="139"/>
        <v>81066.67</v>
      </c>
      <c r="AB595" s="20">
        <f t="shared" si="139"/>
        <v>81066.67</v>
      </c>
      <c r="AC595" s="20">
        <f t="shared" si="139"/>
        <v>81066.67</v>
      </c>
      <c r="AD595" s="37">
        <f>17500+88669.79</f>
        <v>106169.79</v>
      </c>
      <c r="AE595" s="9">
        <f>SUM(S595:AD595)</f>
        <v>995413.56000000017</v>
      </c>
    </row>
    <row r="596" spans="1:31" ht="13.5" thickBot="1" x14ac:dyDescent="0.25">
      <c r="C596" s="10" t="s">
        <v>193</v>
      </c>
      <c r="S596" s="11">
        <f t="shared" ref="S596:AD596" si="140">SUM(S593:S595)</f>
        <v>80818.75</v>
      </c>
      <c r="T596" s="11">
        <f t="shared" si="140"/>
        <v>80568.75</v>
      </c>
      <c r="U596" s="11">
        <f t="shared" si="140"/>
        <v>80568.75</v>
      </c>
      <c r="V596" s="11">
        <f t="shared" si="140"/>
        <v>80568.75</v>
      </c>
      <c r="W596" s="11">
        <f t="shared" si="140"/>
        <v>80568.75</v>
      </c>
      <c r="X596" s="11">
        <f t="shared" si="140"/>
        <v>81066.67</v>
      </c>
      <c r="Y596" s="11">
        <f t="shared" si="140"/>
        <v>81066.67</v>
      </c>
      <c r="Z596" s="11">
        <f t="shared" si="140"/>
        <v>81066.67</v>
      </c>
      <c r="AA596" s="11">
        <f t="shared" si="140"/>
        <v>81066.67</v>
      </c>
      <c r="AB596" s="11">
        <f t="shared" si="140"/>
        <v>81066.67</v>
      </c>
      <c r="AC596" s="11">
        <f t="shared" si="140"/>
        <v>81066.67</v>
      </c>
      <c r="AD596" s="38">
        <f t="shared" si="140"/>
        <v>106169.79</v>
      </c>
      <c r="AE596" s="11">
        <f>SUM(AE593:AE595)</f>
        <v>995663.56000000017</v>
      </c>
    </row>
    <row r="597" spans="1:31" x14ac:dyDescent="0.2">
      <c r="C597" s="12"/>
    </row>
    <row r="598" spans="1:31" ht="15.75" x14ac:dyDescent="0.25">
      <c r="A598" s="15">
        <f>+A592+1</f>
        <v>70</v>
      </c>
      <c r="C598" s="19" t="s">
        <v>194</v>
      </c>
    </row>
    <row r="599" spans="1:31" x14ac:dyDescent="0.2">
      <c r="C599" s="6" t="s">
        <v>5</v>
      </c>
      <c r="S599" s="9">
        <v>0</v>
      </c>
      <c r="T599" s="9">
        <v>0</v>
      </c>
      <c r="U599" s="9">
        <v>0</v>
      </c>
      <c r="V599" s="9">
        <v>0</v>
      </c>
      <c r="W599" s="9">
        <v>0</v>
      </c>
      <c r="X599" s="9">
        <v>0</v>
      </c>
      <c r="Y599" s="9">
        <v>0</v>
      </c>
      <c r="Z599" s="9">
        <v>0</v>
      </c>
      <c r="AA599" s="9">
        <v>0</v>
      </c>
      <c r="AB599" s="9">
        <v>0</v>
      </c>
      <c r="AC599" s="9">
        <v>0</v>
      </c>
      <c r="AD599" s="25">
        <v>0</v>
      </c>
      <c r="AE599" s="9">
        <f>SUM(S599:AD599)</f>
        <v>0</v>
      </c>
    </row>
    <row r="600" spans="1:31" x14ac:dyDescent="0.2">
      <c r="C600" s="6" t="s">
        <v>6</v>
      </c>
      <c r="S600" s="20">
        <v>250</v>
      </c>
      <c r="AE600" s="9">
        <f>SUM(S600:AD600)</f>
        <v>250</v>
      </c>
    </row>
    <row r="601" spans="1:31" ht="13.5" thickBot="1" x14ac:dyDescent="0.25">
      <c r="C601" s="6" t="s">
        <v>7</v>
      </c>
      <c r="S601" s="20">
        <v>33781.67</v>
      </c>
      <c r="T601" s="20">
        <v>33781.67</v>
      </c>
      <c r="U601" s="20">
        <v>33781.67</v>
      </c>
      <c r="V601" s="20">
        <v>33671.040000000001</v>
      </c>
      <c r="W601" s="20">
        <v>33671.040000000001</v>
      </c>
      <c r="X601" s="20">
        <v>33671.050000000003</v>
      </c>
      <c r="Y601" s="20">
        <v>46893.75</v>
      </c>
      <c r="Z601" s="20">
        <v>46893.75</v>
      </c>
      <c r="AA601" s="20">
        <v>46893.760000000002</v>
      </c>
      <c r="AB601" s="20">
        <v>35018.129999999997</v>
      </c>
      <c r="AC601" s="20">
        <v>24794.17</v>
      </c>
      <c r="AD601" s="37">
        <v>24794.16</v>
      </c>
      <c r="AE601" s="9">
        <f>SUM(S601:AD601)</f>
        <v>427645.86</v>
      </c>
    </row>
    <row r="602" spans="1:31" ht="13.5" thickBot="1" x14ac:dyDescent="0.25">
      <c r="C602" s="10" t="s">
        <v>195</v>
      </c>
      <c r="S602" s="11">
        <f t="shared" ref="S602:AD602" si="141">SUM(S599:S601)</f>
        <v>34031.67</v>
      </c>
      <c r="T602" s="11">
        <f t="shared" si="141"/>
        <v>33781.67</v>
      </c>
      <c r="U602" s="11">
        <f t="shared" si="141"/>
        <v>33781.67</v>
      </c>
      <c r="V602" s="11">
        <f t="shared" si="141"/>
        <v>33671.040000000001</v>
      </c>
      <c r="W602" s="11">
        <f t="shared" si="141"/>
        <v>33671.040000000001</v>
      </c>
      <c r="X602" s="11">
        <f t="shared" si="141"/>
        <v>33671.050000000003</v>
      </c>
      <c r="Y602" s="11">
        <f t="shared" si="141"/>
        <v>46893.75</v>
      </c>
      <c r="Z602" s="11">
        <f t="shared" si="141"/>
        <v>46893.75</v>
      </c>
      <c r="AA602" s="11">
        <f t="shared" si="141"/>
        <v>46893.760000000002</v>
      </c>
      <c r="AB602" s="11">
        <f t="shared" si="141"/>
        <v>35018.129999999997</v>
      </c>
      <c r="AC602" s="11">
        <f t="shared" si="141"/>
        <v>24794.17</v>
      </c>
      <c r="AD602" s="38">
        <f t="shared" si="141"/>
        <v>24794.16</v>
      </c>
      <c r="AE602" s="11">
        <f>SUM(AE599:AE601)</f>
        <v>427895.86</v>
      </c>
    </row>
    <row r="603" spans="1:31" x14ac:dyDescent="0.2">
      <c r="C603" s="12"/>
    </row>
    <row r="604" spans="1:31" ht="15.75" x14ac:dyDescent="0.25">
      <c r="A604" s="15">
        <f>+A598+1</f>
        <v>71</v>
      </c>
      <c r="C604" s="19" t="s">
        <v>196</v>
      </c>
    </row>
    <row r="605" spans="1:31" x14ac:dyDescent="0.2">
      <c r="C605" s="6" t="s">
        <v>5</v>
      </c>
      <c r="S605" s="9">
        <v>0</v>
      </c>
      <c r="T605" s="9">
        <v>0</v>
      </c>
      <c r="U605" s="9">
        <v>0</v>
      </c>
      <c r="V605" s="9">
        <v>0</v>
      </c>
      <c r="W605" s="9">
        <v>0</v>
      </c>
      <c r="X605" s="9">
        <v>0</v>
      </c>
      <c r="Y605" s="9">
        <v>0</v>
      </c>
      <c r="Z605" s="9">
        <v>0</v>
      </c>
      <c r="AA605" s="9">
        <v>0</v>
      </c>
      <c r="AB605" s="9">
        <v>0</v>
      </c>
      <c r="AC605" s="9">
        <v>0</v>
      </c>
      <c r="AD605" s="25">
        <v>0</v>
      </c>
      <c r="AE605" s="9">
        <f>SUM(S605:AD605)</f>
        <v>0</v>
      </c>
    </row>
    <row r="606" spans="1:31" x14ac:dyDescent="0.2">
      <c r="C606" s="6" t="s">
        <v>6</v>
      </c>
      <c r="S606" s="20">
        <v>250</v>
      </c>
      <c r="AE606" s="9">
        <f>SUM(S606:AD606)</f>
        <v>250</v>
      </c>
    </row>
    <row r="607" spans="1:31" ht="13.5" thickBot="1" x14ac:dyDescent="0.25">
      <c r="C607" s="6" t="s">
        <v>7</v>
      </c>
      <c r="S607" s="20">
        <f>9166.67+133689.06</f>
        <v>142855.73000000001</v>
      </c>
      <c r="T607" s="20">
        <f t="shared" ref="T607:AC607" si="142">9166.67+133689.06</f>
        <v>142855.73000000001</v>
      </c>
      <c r="U607" s="20">
        <f t="shared" si="142"/>
        <v>142855.73000000001</v>
      </c>
      <c r="V607" s="20">
        <f t="shared" si="142"/>
        <v>142855.73000000001</v>
      </c>
      <c r="W607" s="20">
        <f t="shared" si="142"/>
        <v>142855.73000000001</v>
      </c>
      <c r="X607" s="20">
        <f>9166.67+133689.08</f>
        <v>142855.75</v>
      </c>
      <c r="Y607" s="20">
        <f t="shared" si="142"/>
        <v>142855.73000000001</v>
      </c>
      <c r="Z607" s="20">
        <f t="shared" si="142"/>
        <v>142855.73000000001</v>
      </c>
      <c r="AA607" s="20">
        <f t="shared" si="142"/>
        <v>142855.73000000001</v>
      </c>
      <c r="AB607" s="20">
        <f t="shared" si="142"/>
        <v>142855.73000000001</v>
      </c>
      <c r="AC607" s="20">
        <f t="shared" si="142"/>
        <v>142855.73000000001</v>
      </c>
      <c r="AD607" s="37">
        <f>9166.63+133689.08</f>
        <v>142855.71</v>
      </c>
      <c r="AE607" s="9">
        <f>SUM(S607:AD607)</f>
        <v>1714268.76</v>
      </c>
    </row>
    <row r="608" spans="1:31" ht="13.5" thickBot="1" x14ac:dyDescent="0.25">
      <c r="C608" s="10" t="s">
        <v>197</v>
      </c>
      <c r="S608" s="11">
        <f t="shared" ref="S608:AD608" si="143">SUM(S605:S607)</f>
        <v>143105.73000000001</v>
      </c>
      <c r="T608" s="11">
        <f t="shared" si="143"/>
        <v>142855.73000000001</v>
      </c>
      <c r="U608" s="11">
        <f t="shared" si="143"/>
        <v>142855.73000000001</v>
      </c>
      <c r="V608" s="11">
        <f t="shared" si="143"/>
        <v>142855.73000000001</v>
      </c>
      <c r="W608" s="11">
        <f t="shared" si="143"/>
        <v>142855.73000000001</v>
      </c>
      <c r="X608" s="11">
        <f t="shared" si="143"/>
        <v>142855.75</v>
      </c>
      <c r="Y608" s="11">
        <f t="shared" si="143"/>
        <v>142855.73000000001</v>
      </c>
      <c r="Z608" s="11">
        <f t="shared" si="143"/>
        <v>142855.73000000001</v>
      </c>
      <c r="AA608" s="11">
        <f t="shared" si="143"/>
        <v>142855.73000000001</v>
      </c>
      <c r="AB608" s="11">
        <f t="shared" si="143"/>
        <v>142855.73000000001</v>
      </c>
      <c r="AC608" s="11">
        <f t="shared" si="143"/>
        <v>142855.73000000001</v>
      </c>
      <c r="AD608" s="38">
        <f t="shared" si="143"/>
        <v>142855.71</v>
      </c>
      <c r="AE608" s="11">
        <f>SUM(AE605:AE607)</f>
        <v>1714518.76</v>
      </c>
    </row>
    <row r="609" spans="1:31" x14ac:dyDescent="0.2">
      <c r="C609" s="12"/>
    </row>
    <row r="610" spans="1:31" ht="15.75" x14ac:dyDescent="0.25">
      <c r="A610" s="15">
        <f>+A604+1</f>
        <v>72</v>
      </c>
      <c r="C610" s="19" t="s">
        <v>198</v>
      </c>
    </row>
    <row r="611" spans="1:31" x14ac:dyDescent="0.2">
      <c r="C611" s="6" t="s">
        <v>5</v>
      </c>
      <c r="S611" s="9">
        <v>0</v>
      </c>
      <c r="T611" s="9">
        <v>0</v>
      </c>
      <c r="U611" s="9">
        <v>0</v>
      </c>
      <c r="V611" s="9">
        <v>0</v>
      </c>
      <c r="W611" s="9">
        <v>0</v>
      </c>
      <c r="X611" s="9">
        <v>0</v>
      </c>
      <c r="Y611" s="9">
        <v>0</v>
      </c>
      <c r="Z611" s="9">
        <v>0</v>
      </c>
      <c r="AA611" s="9">
        <v>0</v>
      </c>
      <c r="AB611" s="9">
        <v>0</v>
      </c>
      <c r="AC611" s="9">
        <v>0</v>
      </c>
      <c r="AD611" s="25">
        <v>0</v>
      </c>
      <c r="AE611" s="9">
        <f>SUM(S611:AD611)</f>
        <v>0</v>
      </c>
    </row>
    <row r="612" spans="1:31" x14ac:dyDescent="0.2">
      <c r="C612" s="6" t="s">
        <v>6</v>
      </c>
      <c r="S612" s="20">
        <v>250</v>
      </c>
      <c r="AE612" s="9">
        <f>SUM(S612:AD612)</f>
        <v>250</v>
      </c>
    </row>
    <row r="613" spans="1:31" ht="13.5" thickBot="1" x14ac:dyDescent="0.25">
      <c r="C613" s="6" t="s">
        <v>7</v>
      </c>
      <c r="S613" s="20">
        <f>22500+88648.44</f>
        <v>111148.44</v>
      </c>
      <c r="T613" s="20">
        <f t="shared" ref="T613:AC613" si="144">22500+88648.44</f>
        <v>111148.44</v>
      </c>
      <c r="U613" s="20">
        <f t="shared" si="144"/>
        <v>111148.44</v>
      </c>
      <c r="V613" s="20">
        <f t="shared" si="144"/>
        <v>111148.44</v>
      </c>
      <c r="W613" s="20">
        <f t="shared" si="144"/>
        <v>111148.44</v>
      </c>
      <c r="X613" s="20">
        <f>22500+88648.43</f>
        <v>111148.43</v>
      </c>
      <c r="Y613" s="20">
        <f t="shared" si="144"/>
        <v>111148.44</v>
      </c>
      <c r="Z613" s="20">
        <f t="shared" si="144"/>
        <v>111148.44</v>
      </c>
      <c r="AA613" s="20">
        <f t="shared" si="144"/>
        <v>111148.44</v>
      </c>
      <c r="AB613" s="20">
        <f t="shared" si="144"/>
        <v>111148.44</v>
      </c>
      <c r="AC613" s="20">
        <f t="shared" si="144"/>
        <v>111148.44</v>
      </c>
      <c r="AD613" s="37">
        <f>22500+88648.43</f>
        <v>111148.43</v>
      </c>
      <c r="AE613" s="9">
        <f>SUM(S613:AD613)</f>
        <v>1333781.2599999995</v>
      </c>
    </row>
    <row r="614" spans="1:31" ht="13.5" thickBot="1" x14ac:dyDescent="0.25">
      <c r="C614" s="10" t="s">
        <v>199</v>
      </c>
      <c r="S614" s="11">
        <f t="shared" ref="S614:AD614" si="145">SUM(S611:S613)</f>
        <v>111398.44</v>
      </c>
      <c r="T614" s="11">
        <f t="shared" si="145"/>
        <v>111148.44</v>
      </c>
      <c r="U614" s="11">
        <f t="shared" si="145"/>
        <v>111148.44</v>
      </c>
      <c r="V614" s="11">
        <f t="shared" si="145"/>
        <v>111148.44</v>
      </c>
      <c r="W614" s="11">
        <f t="shared" si="145"/>
        <v>111148.44</v>
      </c>
      <c r="X614" s="11">
        <f t="shared" si="145"/>
        <v>111148.43</v>
      </c>
      <c r="Y614" s="11">
        <f t="shared" si="145"/>
        <v>111148.44</v>
      </c>
      <c r="Z614" s="11">
        <f t="shared" si="145"/>
        <v>111148.44</v>
      </c>
      <c r="AA614" s="11">
        <f t="shared" si="145"/>
        <v>111148.44</v>
      </c>
      <c r="AB614" s="11">
        <f t="shared" si="145"/>
        <v>111148.44</v>
      </c>
      <c r="AC614" s="11">
        <f t="shared" si="145"/>
        <v>111148.44</v>
      </c>
      <c r="AD614" s="38">
        <f t="shared" si="145"/>
        <v>111148.43</v>
      </c>
      <c r="AE614" s="11">
        <f>SUM(AE611:AE613)</f>
        <v>1334031.2599999995</v>
      </c>
    </row>
    <row r="615" spans="1:31" x14ac:dyDescent="0.2">
      <c r="C615" s="12"/>
    </row>
    <row r="616" spans="1:31" ht="15.75" x14ac:dyDescent="0.25">
      <c r="A616" s="15">
        <f>+A610+1</f>
        <v>73</v>
      </c>
      <c r="C616" s="19" t="s">
        <v>200</v>
      </c>
    </row>
    <row r="617" spans="1:31" x14ac:dyDescent="0.2">
      <c r="C617" s="6" t="s">
        <v>5</v>
      </c>
      <c r="S617" s="9">
        <v>0</v>
      </c>
      <c r="T617" s="9">
        <v>0</v>
      </c>
      <c r="U617" s="9">
        <v>0</v>
      </c>
      <c r="V617" s="9">
        <v>0</v>
      </c>
      <c r="W617" s="9">
        <v>0</v>
      </c>
      <c r="X617" s="9">
        <v>0</v>
      </c>
      <c r="Y617" s="9">
        <v>0</v>
      </c>
      <c r="Z617" s="9">
        <v>0</v>
      </c>
      <c r="AA617" s="9">
        <v>0</v>
      </c>
      <c r="AB617" s="9">
        <v>0</v>
      </c>
      <c r="AC617" s="9">
        <v>0</v>
      </c>
      <c r="AD617" s="25">
        <v>0</v>
      </c>
      <c r="AE617" s="9">
        <f>SUM(S617:AD617)</f>
        <v>0</v>
      </c>
    </row>
    <row r="618" spans="1:31" x14ac:dyDescent="0.2">
      <c r="C618" s="6" t="s">
        <v>6</v>
      </c>
      <c r="S618" s="20">
        <v>250</v>
      </c>
      <c r="AE618" s="9">
        <f>SUM(S618:AD618)</f>
        <v>250</v>
      </c>
    </row>
    <row r="619" spans="1:31" ht="13.5" thickBot="1" x14ac:dyDescent="0.25">
      <c r="C619" s="6" t="s">
        <v>7</v>
      </c>
      <c r="S619" s="20">
        <f t="shared" ref="S619:AC619" si="146">7500+11727.75</f>
        <v>19227.75</v>
      </c>
      <c r="T619" s="20">
        <f t="shared" si="146"/>
        <v>19227.75</v>
      </c>
      <c r="U619" s="20">
        <f t="shared" si="146"/>
        <v>19227.75</v>
      </c>
      <c r="V619" s="20">
        <f t="shared" si="146"/>
        <v>19227.75</v>
      </c>
      <c r="W619" s="20">
        <f t="shared" si="146"/>
        <v>19227.75</v>
      </c>
      <c r="X619" s="20">
        <f t="shared" si="146"/>
        <v>19227.75</v>
      </c>
      <c r="Y619" s="20">
        <f t="shared" si="146"/>
        <v>19227.75</v>
      </c>
      <c r="Z619" s="20">
        <f t="shared" si="146"/>
        <v>19227.75</v>
      </c>
      <c r="AA619" s="20">
        <f t="shared" si="146"/>
        <v>19227.75</v>
      </c>
      <c r="AB619" s="20">
        <f t="shared" si="146"/>
        <v>19227.75</v>
      </c>
      <c r="AC619" s="20">
        <f t="shared" si="146"/>
        <v>19227.75</v>
      </c>
      <c r="AD619" s="37">
        <f>7916.67+11471.25</f>
        <v>19387.919999999998</v>
      </c>
      <c r="AE619" s="9">
        <f>SUM(S619:AD619)</f>
        <v>230893.16999999998</v>
      </c>
    </row>
    <row r="620" spans="1:31" ht="13.5" thickBot="1" x14ac:dyDescent="0.25">
      <c r="C620" s="10" t="s">
        <v>201</v>
      </c>
      <c r="S620" s="11">
        <f t="shared" ref="S620:AD620" si="147">SUM(S617:S619)</f>
        <v>19477.75</v>
      </c>
      <c r="T620" s="11">
        <f t="shared" si="147"/>
        <v>19227.75</v>
      </c>
      <c r="U620" s="11">
        <f t="shared" si="147"/>
        <v>19227.75</v>
      </c>
      <c r="V620" s="11">
        <f t="shared" si="147"/>
        <v>19227.75</v>
      </c>
      <c r="W620" s="11">
        <f t="shared" si="147"/>
        <v>19227.75</v>
      </c>
      <c r="X620" s="11">
        <f t="shared" si="147"/>
        <v>19227.75</v>
      </c>
      <c r="Y620" s="11">
        <f t="shared" si="147"/>
        <v>19227.75</v>
      </c>
      <c r="Z620" s="11">
        <f t="shared" si="147"/>
        <v>19227.75</v>
      </c>
      <c r="AA620" s="11">
        <f t="shared" si="147"/>
        <v>19227.75</v>
      </c>
      <c r="AB620" s="11">
        <f t="shared" si="147"/>
        <v>19227.75</v>
      </c>
      <c r="AC620" s="11">
        <f t="shared" si="147"/>
        <v>19227.75</v>
      </c>
      <c r="AD620" s="38">
        <f t="shared" si="147"/>
        <v>19387.919999999998</v>
      </c>
      <c r="AE620" s="11">
        <f>SUM(AE617:AE619)</f>
        <v>231143.16999999998</v>
      </c>
    </row>
    <row r="621" spans="1:31" x14ac:dyDescent="0.2">
      <c r="C621" s="12"/>
    </row>
    <row r="622" spans="1:31" ht="15.75" x14ac:dyDescent="0.25">
      <c r="A622" s="15">
        <f>+A616+1</f>
        <v>74</v>
      </c>
      <c r="C622" s="19" t="s">
        <v>202</v>
      </c>
    </row>
    <row r="623" spans="1:31" x14ac:dyDescent="0.2">
      <c r="C623" s="6" t="s">
        <v>5</v>
      </c>
      <c r="S623" s="9">
        <v>0</v>
      </c>
      <c r="T623" s="9">
        <v>0</v>
      </c>
      <c r="U623" s="9">
        <v>0</v>
      </c>
      <c r="V623" s="9">
        <v>0</v>
      </c>
      <c r="W623" s="9">
        <v>0</v>
      </c>
      <c r="X623" s="9">
        <v>0</v>
      </c>
      <c r="Y623" s="9">
        <v>0</v>
      </c>
      <c r="Z623" s="9">
        <v>0</v>
      </c>
      <c r="AA623" s="9">
        <v>0</v>
      </c>
      <c r="AB623" s="9">
        <v>0</v>
      </c>
      <c r="AC623" s="9">
        <v>0</v>
      </c>
      <c r="AD623" s="25">
        <v>0</v>
      </c>
      <c r="AE623" s="9">
        <f>SUM(S623:AD623)</f>
        <v>0</v>
      </c>
    </row>
    <row r="624" spans="1:31" x14ac:dyDescent="0.2">
      <c r="C624" s="6" t="s">
        <v>6</v>
      </c>
      <c r="S624" s="20">
        <v>250</v>
      </c>
      <c r="AE624" s="9">
        <f>SUM(S624:AD624)</f>
        <v>250</v>
      </c>
    </row>
    <row r="625" spans="1:31" ht="13.5" thickBot="1" x14ac:dyDescent="0.25">
      <c r="C625" s="6" t="s">
        <v>7</v>
      </c>
      <c r="S625" s="20">
        <v>6212.76</v>
      </c>
      <c r="T625" s="20">
        <v>6212.76</v>
      </c>
      <c r="U625" s="20">
        <v>6212.76</v>
      </c>
      <c r="V625" s="20">
        <v>6212.76</v>
      </c>
      <c r="W625" s="20">
        <f>7500+24851.04</f>
        <v>32351.040000000001</v>
      </c>
      <c r="X625" s="20">
        <f t="shared" ref="X625:AD625" si="148">7500+24851.04</f>
        <v>32351.040000000001</v>
      </c>
      <c r="Y625" s="20">
        <f t="shared" si="148"/>
        <v>32351.040000000001</v>
      </c>
      <c r="Z625" s="20">
        <f t="shared" si="148"/>
        <v>32351.040000000001</v>
      </c>
      <c r="AA625" s="20">
        <f t="shared" si="148"/>
        <v>32351.040000000001</v>
      </c>
      <c r="AB625" s="20">
        <f>7500+24851.05</f>
        <v>32351.05</v>
      </c>
      <c r="AC625" s="20">
        <f t="shared" si="148"/>
        <v>32351.040000000001</v>
      </c>
      <c r="AD625" s="37">
        <f t="shared" si="148"/>
        <v>32351.040000000001</v>
      </c>
      <c r="AE625" s="9">
        <f>SUM(S625:AD625)</f>
        <v>283659.37</v>
      </c>
    </row>
    <row r="626" spans="1:31" ht="13.5" thickBot="1" x14ac:dyDescent="0.25">
      <c r="C626" s="10" t="s">
        <v>39</v>
      </c>
      <c r="S626" s="11">
        <f t="shared" ref="S626:AD626" si="149">SUM(S623:S625)</f>
        <v>6462.76</v>
      </c>
      <c r="T626" s="11">
        <f t="shared" si="149"/>
        <v>6212.76</v>
      </c>
      <c r="U626" s="11">
        <f t="shared" si="149"/>
        <v>6212.76</v>
      </c>
      <c r="V626" s="11">
        <f t="shared" si="149"/>
        <v>6212.76</v>
      </c>
      <c r="W626" s="11">
        <f t="shared" si="149"/>
        <v>32351.040000000001</v>
      </c>
      <c r="X626" s="11">
        <f t="shared" si="149"/>
        <v>32351.040000000001</v>
      </c>
      <c r="Y626" s="11">
        <f t="shared" si="149"/>
        <v>32351.040000000001</v>
      </c>
      <c r="Z626" s="11">
        <f t="shared" si="149"/>
        <v>32351.040000000001</v>
      </c>
      <c r="AA626" s="11">
        <f t="shared" si="149"/>
        <v>32351.040000000001</v>
      </c>
      <c r="AB626" s="11">
        <f t="shared" si="149"/>
        <v>32351.05</v>
      </c>
      <c r="AC626" s="11">
        <f t="shared" si="149"/>
        <v>32351.040000000001</v>
      </c>
      <c r="AD626" s="38">
        <f t="shared" si="149"/>
        <v>32351.040000000001</v>
      </c>
      <c r="AE626" s="11">
        <f>SUM(AE623:AE625)</f>
        <v>283909.37</v>
      </c>
    </row>
    <row r="627" spans="1:31" x14ac:dyDescent="0.2">
      <c r="C627" s="12"/>
    </row>
    <row r="628" spans="1:31" ht="15.75" x14ac:dyDescent="0.25">
      <c r="A628" s="15">
        <f>+A622+1</f>
        <v>75</v>
      </c>
      <c r="C628" s="19" t="s">
        <v>203</v>
      </c>
    </row>
    <row r="629" spans="1:31" x14ac:dyDescent="0.2">
      <c r="C629" s="6" t="s">
        <v>5</v>
      </c>
      <c r="S629" s="9">
        <v>0</v>
      </c>
      <c r="T629" s="9">
        <v>0</v>
      </c>
      <c r="U629" s="9">
        <v>0</v>
      </c>
      <c r="V629" s="9">
        <v>0</v>
      </c>
      <c r="W629" s="9">
        <v>0</v>
      </c>
      <c r="X629" s="9">
        <v>0</v>
      </c>
      <c r="Y629" s="9">
        <v>0</v>
      </c>
      <c r="Z629" s="9">
        <v>0</v>
      </c>
      <c r="AA629" s="9">
        <v>0</v>
      </c>
      <c r="AB629" s="9">
        <v>0</v>
      </c>
      <c r="AC629" s="9">
        <v>0</v>
      </c>
      <c r="AD629" s="25">
        <v>0</v>
      </c>
      <c r="AE629" s="9">
        <f>SUM(S629:AD629)</f>
        <v>0</v>
      </c>
    </row>
    <row r="630" spans="1:31" x14ac:dyDescent="0.2">
      <c r="C630" s="6" t="s">
        <v>6</v>
      </c>
      <c r="S630" s="20">
        <v>250</v>
      </c>
      <c r="AE630" s="9">
        <f>SUM(S630:AD630)</f>
        <v>250</v>
      </c>
    </row>
    <row r="631" spans="1:31" ht="13.5" thickBot="1" x14ac:dyDescent="0.25">
      <c r="C631" s="6" t="s">
        <v>7</v>
      </c>
      <c r="S631" s="20">
        <v>77895.839999999997</v>
      </c>
      <c r="T631" s="20">
        <v>77895.839999999997</v>
      </c>
      <c r="U631" s="20">
        <v>77895.839999999997</v>
      </c>
      <c r="V631" s="20">
        <v>77895.839999999997</v>
      </c>
      <c r="W631" s="20">
        <v>77895.759999999995</v>
      </c>
      <c r="X631" s="20">
        <f t="shared" ref="X631:AD631" si="150">21250+77895.84</f>
        <v>99145.84</v>
      </c>
      <c r="Y631" s="20">
        <f t="shared" si="150"/>
        <v>99145.84</v>
      </c>
      <c r="Z631" s="20">
        <f t="shared" si="150"/>
        <v>99145.84</v>
      </c>
      <c r="AA631" s="20">
        <f t="shared" si="150"/>
        <v>99145.84</v>
      </c>
      <c r="AB631" s="20">
        <f t="shared" si="150"/>
        <v>99145.84</v>
      </c>
      <c r="AC631" s="20">
        <f t="shared" si="150"/>
        <v>99145.84</v>
      </c>
      <c r="AD631" s="37">
        <f t="shared" si="150"/>
        <v>99145.84</v>
      </c>
      <c r="AE631" s="9">
        <f>SUM(S631:AD631)</f>
        <v>1083499.9999999998</v>
      </c>
    </row>
    <row r="632" spans="1:31" ht="13.5" thickBot="1" x14ac:dyDescent="0.25">
      <c r="C632" s="10" t="s">
        <v>204</v>
      </c>
      <c r="S632" s="11">
        <f t="shared" ref="S632:AD632" si="151">SUM(S629:S631)</f>
        <v>78145.84</v>
      </c>
      <c r="T632" s="11">
        <f t="shared" si="151"/>
        <v>77895.839999999997</v>
      </c>
      <c r="U632" s="11">
        <f t="shared" si="151"/>
        <v>77895.839999999997</v>
      </c>
      <c r="V632" s="11">
        <f t="shared" si="151"/>
        <v>77895.839999999997</v>
      </c>
      <c r="W632" s="11">
        <f t="shared" si="151"/>
        <v>77895.759999999995</v>
      </c>
      <c r="X632" s="11">
        <f t="shared" si="151"/>
        <v>99145.84</v>
      </c>
      <c r="Y632" s="11">
        <f t="shared" si="151"/>
        <v>99145.84</v>
      </c>
      <c r="Z632" s="11">
        <f t="shared" si="151"/>
        <v>99145.84</v>
      </c>
      <c r="AA632" s="11">
        <f t="shared" si="151"/>
        <v>99145.84</v>
      </c>
      <c r="AB632" s="11">
        <f t="shared" si="151"/>
        <v>99145.84</v>
      </c>
      <c r="AC632" s="11">
        <f t="shared" si="151"/>
        <v>99145.84</v>
      </c>
      <c r="AD632" s="38">
        <f t="shared" si="151"/>
        <v>99145.84</v>
      </c>
      <c r="AE632" s="11">
        <f>SUM(AE629:AE631)</f>
        <v>1083749.9999999998</v>
      </c>
    </row>
    <row r="633" spans="1:31" x14ac:dyDescent="0.2">
      <c r="C633" s="12"/>
    </row>
    <row r="634" spans="1:31" ht="15.75" x14ac:dyDescent="0.25">
      <c r="A634" s="15">
        <f>+A628+1</f>
        <v>76</v>
      </c>
      <c r="C634" s="19" t="s">
        <v>205</v>
      </c>
    </row>
    <row r="635" spans="1:31" x14ac:dyDescent="0.2">
      <c r="C635" s="6" t="s">
        <v>5</v>
      </c>
      <c r="S635" s="9">
        <v>0</v>
      </c>
      <c r="T635" s="9">
        <v>0</v>
      </c>
      <c r="U635" s="9">
        <v>0</v>
      </c>
      <c r="V635" s="9">
        <v>0</v>
      </c>
      <c r="W635" s="9">
        <v>0</v>
      </c>
      <c r="X635" s="9">
        <v>0</v>
      </c>
      <c r="Y635" s="9">
        <v>0</v>
      </c>
      <c r="Z635" s="9">
        <v>0</v>
      </c>
      <c r="AA635" s="9">
        <v>0</v>
      </c>
      <c r="AB635" s="9">
        <v>0</v>
      </c>
      <c r="AC635" s="9">
        <v>0</v>
      </c>
      <c r="AD635" s="25">
        <v>0</v>
      </c>
      <c r="AE635" s="9">
        <f>SUM(S635:AD635)</f>
        <v>0</v>
      </c>
    </row>
    <row r="636" spans="1:31" x14ac:dyDescent="0.2">
      <c r="C636" s="6" t="s">
        <v>6</v>
      </c>
      <c r="S636" s="20">
        <v>250</v>
      </c>
      <c r="AE636" s="9">
        <f>SUM(S636:AD636)</f>
        <v>250</v>
      </c>
    </row>
    <row r="637" spans="1:31" ht="13.5" thickBot="1" x14ac:dyDescent="0.25">
      <c r="C637" s="6" t="s">
        <v>7</v>
      </c>
      <c r="S637" s="20">
        <v>23899.88</v>
      </c>
      <c r="T637" s="20">
        <v>23860.1</v>
      </c>
      <c r="U637" s="20">
        <v>23374.5</v>
      </c>
      <c r="V637" s="20">
        <v>23780.53</v>
      </c>
      <c r="W637" s="20">
        <v>23297.5</v>
      </c>
      <c r="X637" s="20">
        <v>23700.959999999999</v>
      </c>
      <c r="Y637" s="20">
        <v>23661.18</v>
      </c>
      <c r="Z637" s="20">
        <v>27303.200000000001</v>
      </c>
      <c r="AA637" s="20">
        <v>23561.72</v>
      </c>
      <c r="AB637" s="20">
        <v>23085.75</v>
      </c>
      <c r="AC637" s="20">
        <v>23482.16</v>
      </c>
      <c r="AD637" s="37">
        <v>23008.75</v>
      </c>
      <c r="AE637" s="9">
        <f>SUM(S637:AD637)</f>
        <v>286016.23</v>
      </c>
    </row>
    <row r="638" spans="1:31" ht="13.5" thickBot="1" x14ac:dyDescent="0.25">
      <c r="C638" s="10" t="s">
        <v>206</v>
      </c>
      <c r="S638" s="11">
        <f t="shared" ref="S638:AD638" si="152">SUM(S635:S637)</f>
        <v>24149.88</v>
      </c>
      <c r="T638" s="11">
        <f t="shared" si="152"/>
        <v>23860.1</v>
      </c>
      <c r="U638" s="11">
        <f t="shared" si="152"/>
        <v>23374.5</v>
      </c>
      <c r="V638" s="11">
        <f t="shared" si="152"/>
        <v>23780.53</v>
      </c>
      <c r="W638" s="11">
        <f t="shared" si="152"/>
        <v>23297.5</v>
      </c>
      <c r="X638" s="11">
        <f t="shared" si="152"/>
        <v>23700.959999999999</v>
      </c>
      <c r="Y638" s="11">
        <f t="shared" si="152"/>
        <v>23661.18</v>
      </c>
      <c r="Z638" s="11">
        <f t="shared" si="152"/>
        <v>27303.200000000001</v>
      </c>
      <c r="AA638" s="11">
        <f t="shared" si="152"/>
        <v>23561.72</v>
      </c>
      <c r="AB638" s="11">
        <f t="shared" si="152"/>
        <v>23085.75</v>
      </c>
      <c r="AC638" s="11">
        <f t="shared" si="152"/>
        <v>23482.16</v>
      </c>
      <c r="AD638" s="38">
        <f t="shared" si="152"/>
        <v>23008.75</v>
      </c>
      <c r="AE638" s="11">
        <f>SUM(AE635:AE637)</f>
        <v>286266.23</v>
      </c>
    </row>
    <row r="639" spans="1:31" x14ac:dyDescent="0.2">
      <c r="C639" s="12"/>
    </row>
    <row r="640" spans="1:31" ht="15.75" x14ac:dyDescent="0.25">
      <c r="A640" s="15">
        <f>+A634+1</f>
        <v>77</v>
      </c>
      <c r="C640" s="19" t="s">
        <v>207</v>
      </c>
    </row>
    <row r="641" spans="1:31" x14ac:dyDescent="0.2">
      <c r="C641" s="6" t="s">
        <v>5</v>
      </c>
      <c r="S641" s="20">
        <v>1480.42</v>
      </c>
      <c r="T641" s="20">
        <v>1480.42</v>
      </c>
      <c r="U641" s="20">
        <v>1480.42</v>
      </c>
      <c r="V641" s="20">
        <v>1480.42</v>
      </c>
      <c r="W641" s="20">
        <v>1480.42</v>
      </c>
      <c r="X641" s="20">
        <v>1480.42</v>
      </c>
      <c r="Y641" s="20">
        <v>1480.42</v>
      </c>
      <c r="Z641" s="20">
        <v>1480.42</v>
      </c>
      <c r="AA641" s="20">
        <v>1480.42</v>
      </c>
      <c r="AB641" s="20">
        <v>1480.42</v>
      </c>
      <c r="AC641" s="20">
        <v>1480.42</v>
      </c>
      <c r="AD641" s="37">
        <v>1480.42</v>
      </c>
      <c r="AE641" s="9">
        <f>SUM(S641:AD641)</f>
        <v>17765.04</v>
      </c>
    </row>
    <row r="642" spans="1:31" x14ac:dyDescent="0.2">
      <c r="C642" s="6" t="s">
        <v>6</v>
      </c>
      <c r="S642" s="20">
        <v>250</v>
      </c>
      <c r="AE642" s="9">
        <f>SUM(S642:AD642)</f>
        <v>250</v>
      </c>
    </row>
    <row r="643" spans="1:31" ht="13.5" thickBot="1" x14ac:dyDescent="0.25">
      <c r="C643" s="6" t="s">
        <v>7</v>
      </c>
      <c r="S643" s="9">
        <v>59216.67</v>
      </c>
      <c r="T643" s="9">
        <v>59216.67</v>
      </c>
      <c r="U643" s="9">
        <v>59216.67</v>
      </c>
      <c r="V643" s="9">
        <v>59216.67</v>
      </c>
      <c r="W643" s="9">
        <v>59216.65</v>
      </c>
      <c r="X643" s="9">
        <f>29583.33+59216.67</f>
        <v>88800</v>
      </c>
      <c r="Y643" s="9">
        <f t="shared" ref="Y643:AD643" si="153">29583.33+59216.67</f>
        <v>88800</v>
      </c>
      <c r="Z643" s="9">
        <f t="shared" si="153"/>
        <v>88800</v>
      </c>
      <c r="AA643" s="9">
        <f t="shared" si="153"/>
        <v>88800</v>
      </c>
      <c r="AB643" s="9">
        <f t="shared" si="153"/>
        <v>88800</v>
      </c>
      <c r="AC643" s="9">
        <f>29583.33+59216.65</f>
        <v>88799.98000000001</v>
      </c>
      <c r="AD643" s="25">
        <f t="shared" si="153"/>
        <v>88800</v>
      </c>
      <c r="AE643" s="9">
        <f>SUM(S643:AD643)</f>
        <v>917683.31</v>
      </c>
    </row>
    <row r="644" spans="1:31" ht="13.5" thickBot="1" x14ac:dyDescent="0.25">
      <c r="C644" s="10" t="s">
        <v>30</v>
      </c>
      <c r="S644" s="11">
        <f t="shared" ref="S644:AD644" si="154">SUM(S641:S643)</f>
        <v>60947.09</v>
      </c>
      <c r="T644" s="11">
        <f t="shared" si="154"/>
        <v>60697.09</v>
      </c>
      <c r="U644" s="11">
        <f t="shared" si="154"/>
        <v>60697.09</v>
      </c>
      <c r="V644" s="11">
        <f t="shared" si="154"/>
        <v>60697.09</v>
      </c>
      <c r="W644" s="11">
        <f t="shared" si="154"/>
        <v>60697.07</v>
      </c>
      <c r="X644" s="11">
        <f t="shared" si="154"/>
        <v>90280.42</v>
      </c>
      <c r="Y644" s="11">
        <f t="shared" si="154"/>
        <v>90280.42</v>
      </c>
      <c r="Z644" s="11">
        <f t="shared" si="154"/>
        <v>90280.42</v>
      </c>
      <c r="AA644" s="11">
        <f t="shared" si="154"/>
        <v>90280.42</v>
      </c>
      <c r="AB644" s="11">
        <f t="shared" si="154"/>
        <v>90280.42</v>
      </c>
      <c r="AC644" s="11">
        <f t="shared" si="154"/>
        <v>90280.400000000009</v>
      </c>
      <c r="AD644" s="38">
        <f t="shared" si="154"/>
        <v>90280.42</v>
      </c>
      <c r="AE644" s="11">
        <f>SUM(AE641:AE643)</f>
        <v>935698.35000000009</v>
      </c>
    </row>
    <row r="645" spans="1:31" x14ac:dyDescent="0.2">
      <c r="C645" s="12"/>
    </row>
    <row r="646" spans="1:31" ht="15.75" x14ac:dyDescent="0.25">
      <c r="A646" s="15">
        <f>+A640+1</f>
        <v>78</v>
      </c>
      <c r="C646" s="19" t="s">
        <v>208</v>
      </c>
    </row>
    <row r="647" spans="1:31" x14ac:dyDescent="0.2">
      <c r="C647" s="6" t="s">
        <v>5</v>
      </c>
      <c r="S647" s="9">
        <v>0</v>
      </c>
      <c r="T647" s="9">
        <v>0</v>
      </c>
      <c r="U647" s="9">
        <v>0</v>
      </c>
      <c r="V647" s="9">
        <v>0</v>
      </c>
      <c r="W647" s="9">
        <v>0</v>
      </c>
      <c r="X647" s="9">
        <v>0</v>
      </c>
      <c r="Y647" s="9">
        <v>0</v>
      </c>
      <c r="Z647" s="9">
        <v>0</v>
      </c>
      <c r="AA647" s="9">
        <v>0</v>
      </c>
      <c r="AB647" s="9">
        <v>0</v>
      </c>
      <c r="AC647" s="9">
        <v>0</v>
      </c>
      <c r="AD647" s="25">
        <v>0</v>
      </c>
      <c r="AE647" s="9">
        <f>SUM(S647:AD647)</f>
        <v>0</v>
      </c>
    </row>
    <row r="648" spans="1:31" x14ac:dyDescent="0.2">
      <c r="C648" s="6" t="s">
        <v>6</v>
      </c>
      <c r="S648" s="20">
        <v>250</v>
      </c>
      <c r="AE648" s="9">
        <f>SUM(S648:AD648)</f>
        <v>250</v>
      </c>
    </row>
    <row r="649" spans="1:31" ht="13.5" thickBot="1" x14ac:dyDescent="0.25">
      <c r="C649" s="6" t="s">
        <v>7</v>
      </c>
      <c r="S649" s="20">
        <v>55899.25</v>
      </c>
      <c r="T649" s="20">
        <v>55899.25</v>
      </c>
      <c r="U649" s="20">
        <v>55899.25</v>
      </c>
      <c r="V649" s="20">
        <v>55899.25</v>
      </c>
      <c r="W649" s="20">
        <v>55899.26</v>
      </c>
      <c r="X649" s="20">
        <v>55899.26</v>
      </c>
      <c r="Y649" s="20">
        <v>55899.25</v>
      </c>
      <c r="Z649" s="20">
        <v>55899.25</v>
      </c>
      <c r="AA649" s="20">
        <v>55899.25</v>
      </c>
      <c r="AB649" s="20">
        <v>55899.25</v>
      </c>
      <c r="AC649" s="20">
        <v>55899.26</v>
      </c>
      <c r="AD649" s="37">
        <v>55899.25</v>
      </c>
      <c r="AE649" s="9">
        <f>SUM(S649:AD649)</f>
        <v>670791.03</v>
      </c>
    </row>
    <row r="650" spans="1:31" ht="13.5" thickBot="1" x14ac:dyDescent="0.25">
      <c r="C650" s="10" t="s">
        <v>209</v>
      </c>
      <c r="S650" s="11">
        <f t="shared" ref="S650:AD650" si="155">SUM(S647:S649)</f>
        <v>56149.25</v>
      </c>
      <c r="T650" s="11">
        <f t="shared" si="155"/>
        <v>55899.25</v>
      </c>
      <c r="U650" s="11">
        <f t="shared" si="155"/>
        <v>55899.25</v>
      </c>
      <c r="V650" s="11">
        <f t="shared" si="155"/>
        <v>55899.25</v>
      </c>
      <c r="W650" s="11">
        <f t="shared" si="155"/>
        <v>55899.26</v>
      </c>
      <c r="X650" s="11">
        <f t="shared" si="155"/>
        <v>55899.26</v>
      </c>
      <c r="Y650" s="11">
        <f t="shared" si="155"/>
        <v>55899.25</v>
      </c>
      <c r="Z650" s="11">
        <f t="shared" si="155"/>
        <v>55899.25</v>
      </c>
      <c r="AA650" s="11">
        <f t="shared" si="155"/>
        <v>55899.25</v>
      </c>
      <c r="AB650" s="11">
        <f t="shared" si="155"/>
        <v>55899.25</v>
      </c>
      <c r="AC650" s="11">
        <f t="shared" si="155"/>
        <v>55899.26</v>
      </c>
      <c r="AD650" s="38">
        <f t="shared" si="155"/>
        <v>55899.25</v>
      </c>
      <c r="AE650" s="11">
        <f>SUM(AE647:AE649)</f>
        <v>671041.03</v>
      </c>
    </row>
    <row r="651" spans="1:31" x14ac:dyDescent="0.2">
      <c r="C651" s="12"/>
    </row>
    <row r="652" spans="1:31" ht="15.75" x14ac:dyDescent="0.25">
      <c r="A652" s="15">
        <f>+A646+1</f>
        <v>79</v>
      </c>
      <c r="C652" s="19" t="s">
        <v>210</v>
      </c>
    </row>
    <row r="653" spans="1:31" x14ac:dyDescent="0.2">
      <c r="C653" s="6" t="s">
        <v>5</v>
      </c>
      <c r="S653" s="9">
        <v>0</v>
      </c>
      <c r="T653" s="9">
        <v>0</v>
      </c>
      <c r="U653" s="9">
        <v>0</v>
      </c>
      <c r="V653" s="9">
        <v>0</v>
      </c>
      <c r="W653" s="9">
        <v>0</v>
      </c>
      <c r="X653" s="9">
        <v>0</v>
      </c>
      <c r="Y653" s="9">
        <v>0</v>
      </c>
      <c r="Z653" s="9">
        <v>0</v>
      </c>
      <c r="AA653" s="9">
        <v>0</v>
      </c>
      <c r="AB653" s="9">
        <v>0</v>
      </c>
      <c r="AC653" s="9">
        <v>0</v>
      </c>
      <c r="AD653" s="25">
        <v>0</v>
      </c>
      <c r="AE653" s="9">
        <f>SUM(S653:AD653)</f>
        <v>0</v>
      </c>
    </row>
    <row r="654" spans="1:31" x14ac:dyDescent="0.2">
      <c r="C654" s="6" t="s">
        <v>6</v>
      </c>
      <c r="S654" s="20">
        <v>250</v>
      </c>
      <c r="AE654" s="9">
        <f>SUM(S654:AD654)</f>
        <v>250</v>
      </c>
    </row>
    <row r="655" spans="1:31" ht="13.5" thickBot="1" x14ac:dyDescent="0.25">
      <c r="C655" s="6" t="s">
        <v>7</v>
      </c>
      <c r="S655" s="20">
        <v>35255.71</v>
      </c>
      <c r="T655" s="20">
        <v>35255.71</v>
      </c>
      <c r="U655" s="20">
        <v>35255.71</v>
      </c>
      <c r="V655" s="20">
        <v>35255.71</v>
      </c>
      <c r="W655" s="20">
        <v>35255.71</v>
      </c>
      <c r="X655" s="20">
        <v>35255.71</v>
      </c>
      <c r="Y655" s="20">
        <v>35255.71</v>
      </c>
      <c r="Z655" s="20">
        <v>35255.71</v>
      </c>
      <c r="AA655" s="20">
        <v>35255.71</v>
      </c>
      <c r="AB655" s="20">
        <v>35255.71</v>
      </c>
      <c r="AC655" s="20">
        <v>35255.71</v>
      </c>
      <c r="AD655" s="37">
        <v>35255.71</v>
      </c>
      <c r="AE655" s="9">
        <f>SUM(S655:AD655)</f>
        <v>423068.52000000008</v>
      </c>
    </row>
    <row r="656" spans="1:31" ht="13.5" thickBot="1" x14ac:dyDescent="0.25">
      <c r="C656" s="10" t="s">
        <v>211</v>
      </c>
      <c r="S656" s="11">
        <f t="shared" ref="S656:AD656" si="156">SUM(S653:S655)</f>
        <v>35505.71</v>
      </c>
      <c r="T656" s="11">
        <f t="shared" si="156"/>
        <v>35255.71</v>
      </c>
      <c r="U656" s="11">
        <f t="shared" si="156"/>
        <v>35255.71</v>
      </c>
      <c r="V656" s="11">
        <f t="shared" si="156"/>
        <v>35255.71</v>
      </c>
      <c r="W656" s="11">
        <f t="shared" si="156"/>
        <v>35255.71</v>
      </c>
      <c r="X656" s="11">
        <f t="shared" si="156"/>
        <v>35255.71</v>
      </c>
      <c r="Y656" s="11">
        <f t="shared" si="156"/>
        <v>35255.71</v>
      </c>
      <c r="Z656" s="11">
        <f t="shared" si="156"/>
        <v>35255.71</v>
      </c>
      <c r="AA656" s="11">
        <f t="shared" si="156"/>
        <v>35255.71</v>
      </c>
      <c r="AB656" s="11">
        <f t="shared" si="156"/>
        <v>35255.71</v>
      </c>
      <c r="AC656" s="11">
        <f t="shared" si="156"/>
        <v>35255.71</v>
      </c>
      <c r="AD656" s="38">
        <f t="shared" si="156"/>
        <v>35255.71</v>
      </c>
      <c r="AE656" s="11">
        <f>SUM(AE653:AE655)</f>
        <v>423318.52000000008</v>
      </c>
    </row>
    <row r="657" spans="1:31" x14ac:dyDescent="0.2">
      <c r="C657" s="12"/>
    </row>
    <row r="658" spans="1:31" ht="15.75" x14ac:dyDescent="0.25">
      <c r="A658" s="15">
        <f>+A652+1</f>
        <v>80</v>
      </c>
      <c r="C658" s="19" t="s">
        <v>212</v>
      </c>
    </row>
    <row r="659" spans="1:31" x14ac:dyDescent="0.2">
      <c r="C659" s="6" t="s">
        <v>5</v>
      </c>
      <c r="S659" s="20">
        <v>721.67</v>
      </c>
      <c r="T659" s="20">
        <v>721.67</v>
      </c>
      <c r="U659" s="20">
        <v>721.67</v>
      </c>
      <c r="V659" s="20">
        <v>721.67</v>
      </c>
      <c r="W659" s="20">
        <v>721.67</v>
      </c>
      <c r="X659" s="20">
        <v>721.67</v>
      </c>
      <c r="Y659" s="20">
        <v>721.67</v>
      </c>
      <c r="Z659" s="20">
        <v>721.67</v>
      </c>
      <c r="AA659" s="20">
        <v>721.67</v>
      </c>
      <c r="AB659" s="20">
        <v>710</v>
      </c>
      <c r="AC659" s="20">
        <v>710</v>
      </c>
      <c r="AD659" s="37">
        <v>710</v>
      </c>
      <c r="AE659" s="9">
        <f>SUM(S659:AD659)</f>
        <v>8625.0299999999988</v>
      </c>
    </row>
    <row r="660" spans="1:31" x14ac:dyDescent="0.2">
      <c r="C660" s="6" t="s">
        <v>6</v>
      </c>
      <c r="S660" s="20">
        <v>250</v>
      </c>
      <c r="AE660" s="9">
        <f>SUM(S660:AD660)</f>
        <v>250</v>
      </c>
    </row>
    <row r="661" spans="1:31" ht="13.5" thickBot="1" x14ac:dyDescent="0.25">
      <c r="C661" s="6" t="s">
        <v>7</v>
      </c>
      <c r="S661" s="20">
        <f t="shared" ref="S661:Y661" si="157">11666.67+26585.34</f>
        <v>38252.01</v>
      </c>
      <c r="T661" s="20">
        <f>11666.67+26585.35</f>
        <v>38252.019999999997</v>
      </c>
      <c r="U661" s="20">
        <f t="shared" si="157"/>
        <v>38252.01</v>
      </c>
      <c r="V661" s="20">
        <f t="shared" si="157"/>
        <v>38252.01</v>
      </c>
      <c r="W661" s="20">
        <f t="shared" si="157"/>
        <v>38252.01</v>
      </c>
      <c r="X661" s="20">
        <f t="shared" si="157"/>
        <v>38252.01</v>
      </c>
      <c r="Y661" s="20">
        <f t="shared" si="157"/>
        <v>38252.01</v>
      </c>
      <c r="Z661" s="20">
        <f>11666.63+26585.35</f>
        <v>38251.979999999996</v>
      </c>
      <c r="AA661" s="20">
        <f>12083.33+26302.56</f>
        <v>38385.89</v>
      </c>
      <c r="AB661" s="20">
        <f>12083.33+26302.56</f>
        <v>38385.89</v>
      </c>
      <c r="AC661" s="20">
        <f>12083.33+26302.56</f>
        <v>38385.89</v>
      </c>
      <c r="AD661" s="37">
        <f>12083.33+26302.56</f>
        <v>38385.89</v>
      </c>
      <c r="AE661" s="9">
        <f>SUM(S661:AD661)</f>
        <v>459559.62000000005</v>
      </c>
    </row>
    <row r="662" spans="1:31" ht="13.5" thickBot="1" x14ac:dyDescent="0.25">
      <c r="C662" s="10" t="s">
        <v>213</v>
      </c>
      <c r="S662" s="11">
        <f t="shared" ref="S662:AD662" si="158">SUM(S659:S661)</f>
        <v>39223.68</v>
      </c>
      <c r="T662" s="11">
        <f t="shared" si="158"/>
        <v>38973.689999999995</v>
      </c>
      <c r="U662" s="11">
        <f t="shared" si="158"/>
        <v>38973.68</v>
      </c>
      <c r="V662" s="11">
        <f t="shared" si="158"/>
        <v>38973.68</v>
      </c>
      <c r="W662" s="11">
        <f t="shared" si="158"/>
        <v>38973.68</v>
      </c>
      <c r="X662" s="11">
        <f t="shared" si="158"/>
        <v>38973.68</v>
      </c>
      <c r="Y662" s="11">
        <f t="shared" si="158"/>
        <v>38973.68</v>
      </c>
      <c r="Z662" s="11">
        <f t="shared" si="158"/>
        <v>38973.649999999994</v>
      </c>
      <c r="AA662" s="11">
        <f t="shared" si="158"/>
        <v>39107.56</v>
      </c>
      <c r="AB662" s="11">
        <f t="shared" si="158"/>
        <v>39095.89</v>
      </c>
      <c r="AC662" s="11">
        <f t="shared" si="158"/>
        <v>39095.89</v>
      </c>
      <c r="AD662" s="38">
        <f t="shared" si="158"/>
        <v>39095.89</v>
      </c>
      <c r="AE662" s="11">
        <f>SUM(AE659:AE661)</f>
        <v>468434.65</v>
      </c>
    </row>
    <row r="663" spans="1:31" x14ac:dyDescent="0.2">
      <c r="C663" s="12"/>
    </row>
    <row r="664" spans="1:31" ht="15.75" x14ac:dyDescent="0.25">
      <c r="A664" s="15">
        <f>+A658+1</f>
        <v>81</v>
      </c>
      <c r="C664" s="19" t="s">
        <v>214</v>
      </c>
    </row>
    <row r="665" spans="1:31" x14ac:dyDescent="0.2">
      <c r="C665" s="6" t="s">
        <v>5</v>
      </c>
      <c r="S665" s="9">
        <v>0</v>
      </c>
      <c r="T665" s="9">
        <v>0</v>
      </c>
      <c r="U665" s="9">
        <v>0</v>
      </c>
      <c r="V665" s="9">
        <v>0</v>
      </c>
      <c r="W665" s="9">
        <v>0</v>
      </c>
      <c r="X665" s="9">
        <v>0</v>
      </c>
      <c r="Y665" s="9">
        <v>0</v>
      </c>
      <c r="Z665" s="9">
        <v>0</v>
      </c>
      <c r="AA665" s="9">
        <v>0</v>
      </c>
      <c r="AB665" s="9">
        <v>0</v>
      </c>
      <c r="AC665" s="9">
        <v>0</v>
      </c>
      <c r="AD665" s="25">
        <v>0</v>
      </c>
      <c r="AE665" s="9">
        <f>SUM(S665:AD665)</f>
        <v>0</v>
      </c>
    </row>
    <row r="666" spans="1:31" x14ac:dyDescent="0.2">
      <c r="C666" s="6" t="s">
        <v>6</v>
      </c>
      <c r="S666" s="20">
        <v>250</v>
      </c>
      <c r="AE666" s="9">
        <f>SUM(S666:AD666)</f>
        <v>250</v>
      </c>
    </row>
    <row r="667" spans="1:31" ht="13.5" thickBot="1" x14ac:dyDescent="0.25">
      <c r="C667" s="6" t="s">
        <v>7</v>
      </c>
      <c r="S667" s="20">
        <v>25216.29</v>
      </c>
      <c r="T667" s="20">
        <v>25216.3</v>
      </c>
      <c r="U667" s="20">
        <v>25216.29</v>
      </c>
      <c r="V667" s="20">
        <v>25216.29</v>
      </c>
      <c r="W667" s="20">
        <v>25216.29</v>
      </c>
      <c r="X667" s="20">
        <v>25216.29</v>
      </c>
      <c r="Y667" s="20">
        <v>25216.29</v>
      </c>
      <c r="Z667" s="20">
        <v>25216.29</v>
      </c>
      <c r="AA667" s="20">
        <v>25216.3</v>
      </c>
      <c r="AB667" s="20">
        <v>25216.3</v>
      </c>
      <c r="AC667" s="20">
        <v>25216.29</v>
      </c>
      <c r="AD667" s="37">
        <v>25216.29</v>
      </c>
      <c r="AE667" s="9">
        <f>SUM(S667:AD667)</f>
        <v>302595.51</v>
      </c>
    </row>
    <row r="668" spans="1:31" ht="13.5" thickBot="1" x14ac:dyDescent="0.25">
      <c r="C668" s="10" t="s">
        <v>215</v>
      </c>
      <c r="S668" s="11">
        <f t="shared" ref="S668:AD668" si="159">SUM(S665:S667)</f>
        <v>25466.29</v>
      </c>
      <c r="T668" s="11">
        <f t="shared" si="159"/>
        <v>25216.3</v>
      </c>
      <c r="U668" s="11">
        <f t="shared" si="159"/>
        <v>25216.29</v>
      </c>
      <c r="V668" s="11">
        <f t="shared" si="159"/>
        <v>25216.29</v>
      </c>
      <c r="W668" s="11">
        <f t="shared" si="159"/>
        <v>25216.29</v>
      </c>
      <c r="X668" s="11">
        <f t="shared" si="159"/>
        <v>25216.29</v>
      </c>
      <c r="Y668" s="11">
        <f t="shared" si="159"/>
        <v>25216.29</v>
      </c>
      <c r="Z668" s="11">
        <f t="shared" si="159"/>
        <v>25216.29</v>
      </c>
      <c r="AA668" s="11">
        <f t="shared" si="159"/>
        <v>25216.3</v>
      </c>
      <c r="AB668" s="11">
        <f t="shared" si="159"/>
        <v>25216.3</v>
      </c>
      <c r="AC668" s="11">
        <f t="shared" si="159"/>
        <v>25216.29</v>
      </c>
      <c r="AD668" s="38">
        <f t="shared" si="159"/>
        <v>25216.29</v>
      </c>
      <c r="AE668" s="11">
        <f>SUM(AE665:AE667)</f>
        <v>302845.51</v>
      </c>
    </row>
    <row r="669" spans="1:31" x14ac:dyDescent="0.2">
      <c r="C669" s="12"/>
    </row>
    <row r="670" spans="1:31" ht="15.75" x14ac:dyDescent="0.25">
      <c r="A670" s="15">
        <f>+A664+1</f>
        <v>82</v>
      </c>
      <c r="C670" s="19" t="s">
        <v>216</v>
      </c>
    </row>
    <row r="671" spans="1:31" x14ac:dyDescent="0.2">
      <c r="C671" s="6" t="s">
        <v>5</v>
      </c>
      <c r="S671" s="9">
        <v>0</v>
      </c>
      <c r="T671" s="9">
        <v>0</v>
      </c>
      <c r="U671" s="9">
        <v>0</v>
      </c>
      <c r="V671" s="9">
        <v>0</v>
      </c>
      <c r="W671" s="9">
        <v>0</v>
      </c>
      <c r="X671" s="9">
        <v>0</v>
      </c>
      <c r="Y671" s="9">
        <v>0</v>
      </c>
      <c r="Z671" s="9">
        <v>0</v>
      </c>
      <c r="AA671" s="9">
        <v>0</v>
      </c>
      <c r="AB671" s="9">
        <v>0</v>
      </c>
      <c r="AC671" s="9">
        <v>0</v>
      </c>
      <c r="AD671" s="25">
        <v>0</v>
      </c>
      <c r="AE671" s="9">
        <f>SUM(S671:AD671)</f>
        <v>0</v>
      </c>
    </row>
    <row r="672" spans="1:31" x14ac:dyDescent="0.2">
      <c r="C672" s="6" t="s">
        <v>6</v>
      </c>
      <c r="S672" s="20">
        <v>250</v>
      </c>
      <c r="AE672" s="9">
        <f>SUM(S672:AD672)</f>
        <v>250</v>
      </c>
    </row>
    <row r="673" spans="1:31" ht="13.5" thickBot="1" x14ac:dyDescent="0.25">
      <c r="C673" s="6" t="s">
        <v>7</v>
      </c>
      <c r="S673" s="20">
        <v>83950</v>
      </c>
      <c r="T673" s="20">
        <v>83950</v>
      </c>
      <c r="U673" s="20">
        <v>83950</v>
      </c>
      <c r="V673" s="20">
        <v>83950</v>
      </c>
      <c r="W673" s="20">
        <v>83950</v>
      </c>
      <c r="X673" s="20">
        <v>83950</v>
      </c>
      <c r="Y673" s="20">
        <v>83950</v>
      </c>
      <c r="Z673" s="20">
        <v>83950</v>
      </c>
      <c r="AA673" s="20">
        <v>83950</v>
      </c>
      <c r="AB673" s="20">
        <v>83950</v>
      </c>
      <c r="AC673" s="20">
        <f>24583.33+83950</f>
        <v>108533.33</v>
      </c>
      <c r="AD673" s="37">
        <f>24583.33+83950</f>
        <v>108533.33</v>
      </c>
      <c r="AE673" s="9">
        <f>SUM(S673:AD673)</f>
        <v>1056566.6599999999</v>
      </c>
    </row>
    <row r="674" spans="1:31" ht="13.5" thickBot="1" x14ac:dyDescent="0.25">
      <c r="C674" s="10" t="s">
        <v>217</v>
      </c>
      <c r="S674" s="11">
        <f t="shared" ref="S674:AD674" si="160">SUM(S671:S673)</f>
        <v>84200</v>
      </c>
      <c r="T674" s="11">
        <f t="shared" si="160"/>
        <v>83950</v>
      </c>
      <c r="U674" s="11">
        <f t="shared" si="160"/>
        <v>83950</v>
      </c>
      <c r="V674" s="11">
        <f t="shared" si="160"/>
        <v>83950</v>
      </c>
      <c r="W674" s="11">
        <f t="shared" si="160"/>
        <v>83950</v>
      </c>
      <c r="X674" s="11">
        <f t="shared" si="160"/>
        <v>83950</v>
      </c>
      <c r="Y674" s="11">
        <f t="shared" si="160"/>
        <v>83950</v>
      </c>
      <c r="Z674" s="11">
        <f t="shared" si="160"/>
        <v>83950</v>
      </c>
      <c r="AA674" s="11">
        <f t="shared" si="160"/>
        <v>83950</v>
      </c>
      <c r="AB674" s="11">
        <f t="shared" si="160"/>
        <v>83950</v>
      </c>
      <c r="AC674" s="11">
        <f t="shared" si="160"/>
        <v>108533.33</v>
      </c>
      <c r="AD674" s="38">
        <f t="shared" si="160"/>
        <v>108533.33</v>
      </c>
      <c r="AE674" s="11">
        <f>SUM(AE671:AE673)</f>
        <v>1056816.6599999999</v>
      </c>
    </row>
    <row r="675" spans="1:31" x14ac:dyDescent="0.2">
      <c r="C675" s="12"/>
    </row>
    <row r="676" spans="1:31" ht="15.75" x14ac:dyDescent="0.25">
      <c r="A676" s="15">
        <f>+A670+1</f>
        <v>83</v>
      </c>
      <c r="C676" s="19" t="s">
        <v>218</v>
      </c>
    </row>
    <row r="677" spans="1:31" x14ac:dyDescent="0.2">
      <c r="C677" s="6" t="s">
        <v>5</v>
      </c>
      <c r="S677" s="9">
        <v>0</v>
      </c>
      <c r="T677" s="9">
        <v>0</v>
      </c>
      <c r="U677" s="9">
        <v>0</v>
      </c>
      <c r="V677" s="9">
        <v>0</v>
      </c>
      <c r="W677" s="9">
        <v>0</v>
      </c>
      <c r="X677" s="9">
        <v>0</v>
      </c>
      <c r="Y677" s="9">
        <v>0</v>
      </c>
      <c r="Z677" s="9">
        <v>0</v>
      </c>
      <c r="AA677" s="9">
        <v>0</v>
      </c>
      <c r="AB677" s="9">
        <v>0</v>
      </c>
      <c r="AC677" s="9">
        <v>0</v>
      </c>
      <c r="AD677" s="25">
        <v>0</v>
      </c>
      <c r="AE677" s="9">
        <f>SUM(S677:AD677)</f>
        <v>0</v>
      </c>
    </row>
    <row r="678" spans="1:31" x14ac:dyDescent="0.2">
      <c r="C678" s="6" t="s">
        <v>6</v>
      </c>
      <c r="S678" s="20">
        <v>250</v>
      </c>
      <c r="AE678" s="9">
        <f>SUM(S678:AD678)</f>
        <v>250</v>
      </c>
    </row>
    <row r="679" spans="1:31" ht="13.5" thickBot="1" x14ac:dyDescent="0.25">
      <c r="C679" s="6" t="s">
        <v>7</v>
      </c>
      <c r="S679" s="9">
        <f t="shared" ref="S679:Y679" si="161">9583.34+52614.59</f>
        <v>62197.929999999993</v>
      </c>
      <c r="T679" s="9">
        <f t="shared" si="161"/>
        <v>62197.929999999993</v>
      </c>
      <c r="U679" s="9">
        <f t="shared" si="161"/>
        <v>62197.929999999993</v>
      </c>
      <c r="V679" s="9">
        <f t="shared" si="161"/>
        <v>62197.929999999993</v>
      </c>
      <c r="W679" s="9">
        <f t="shared" si="161"/>
        <v>62197.929999999993</v>
      </c>
      <c r="X679" s="9">
        <f t="shared" si="161"/>
        <v>62197.929999999993</v>
      </c>
      <c r="Y679" s="9">
        <f t="shared" si="161"/>
        <v>62197.929999999993</v>
      </c>
      <c r="Z679" s="9">
        <f>10000+52183.34</f>
        <v>62183.34</v>
      </c>
      <c r="AA679" s="9">
        <f>10000+52183.34</f>
        <v>62183.34</v>
      </c>
      <c r="AB679" s="9">
        <f>10000+52183.34</f>
        <v>62183.34</v>
      </c>
      <c r="AC679" s="9">
        <f>10000+52183.34</f>
        <v>62183.34</v>
      </c>
      <c r="AD679" s="25">
        <f>10000+52183.34</f>
        <v>62183.34</v>
      </c>
      <c r="AE679" s="9">
        <f>SUM(S679:AD679)</f>
        <v>746302.20999999985</v>
      </c>
    </row>
    <row r="680" spans="1:31" ht="13.5" thickBot="1" x14ac:dyDescent="0.25">
      <c r="C680" s="10" t="s">
        <v>219</v>
      </c>
      <c r="S680" s="11">
        <f t="shared" ref="S680:AD680" si="162">SUM(S677:S679)</f>
        <v>62447.929999999993</v>
      </c>
      <c r="T680" s="11">
        <f t="shared" si="162"/>
        <v>62197.929999999993</v>
      </c>
      <c r="U680" s="11">
        <f t="shared" si="162"/>
        <v>62197.929999999993</v>
      </c>
      <c r="V680" s="11">
        <f t="shared" si="162"/>
        <v>62197.929999999993</v>
      </c>
      <c r="W680" s="11">
        <f t="shared" si="162"/>
        <v>62197.929999999993</v>
      </c>
      <c r="X680" s="11">
        <f t="shared" si="162"/>
        <v>62197.929999999993</v>
      </c>
      <c r="Y680" s="11">
        <f t="shared" si="162"/>
        <v>62197.929999999993</v>
      </c>
      <c r="Z680" s="11">
        <f t="shared" si="162"/>
        <v>62183.34</v>
      </c>
      <c r="AA680" s="11">
        <f t="shared" si="162"/>
        <v>62183.34</v>
      </c>
      <c r="AB680" s="11">
        <f t="shared" si="162"/>
        <v>62183.34</v>
      </c>
      <c r="AC680" s="11">
        <f t="shared" si="162"/>
        <v>62183.34</v>
      </c>
      <c r="AD680" s="38">
        <f t="shared" si="162"/>
        <v>62183.34</v>
      </c>
      <c r="AE680" s="11">
        <f>SUM(AE677:AE679)</f>
        <v>746552.20999999985</v>
      </c>
    </row>
    <row r="681" spans="1:31" x14ac:dyDescent="0.2">
      <c r="C681" s="12"/>
    </row>
    <row r="682" spans="1:31" ht="15.75" x14ac:dyDescent="0.25">
      <c r="A682" s="15">
        <f>+A676+1</f>
        <v>84</v>
      </c>
      <c r="C682" s="19" t="s">
        <v>220</v>
      </c>
    </row>
    <row r="683" spans="1:31" x14ac:dyDescent="0.2">
      <c r="C683" s="6" t="s">
        <v>5</v>
      </c>
      <c r="S683" s="9">
        <v>0</v>
      </c>
      <c r="T683" s="9">
        <v>0</v>
      </c>
      <c r="U683" s="9">
        <v>0</v>
      </c>
      <c r="V683" s="9">
        <v>0</v>
      </c>
      <c r="W683" s="9">
        <v>0</v>
      </c>
      <c r="X683" s="9">
        <v>0</v>
      </c>
      <c r="Y683" s="9">
        <v>0</v>
      </c>
      <c r="Z683" s="9">
        <v>0</v>
      </c>
      <c r="AA683" s="9">
        <v>0</v>
      </c>
      <c r="AB683" s="9">
        <v>0</v>
      </c>
      <c r="AC683" s="9">
        <v>0</v>
      </c>
      <c r="AD683" s="25">
        <v>0</v>
      </c>
      <c r="AE683" s="9">
        <f>SUM(S683:AD683)</f>
        <v>0</v>
      </c>
    </row>
    <row r="684" spans="1:31" x14ac:dyDescent="0.2">
      <c r="C684" s="6" t="s">
        <v>6</v>
      </c>
      <c r="S684" s="20">
        <v>250</v>
      </c>
      <c r="AE684" s="9">
        <f>SUM(S684:AD684)</f>
        <v>250</v>
      </c>
    </row>
    <row r="685" spans="1:31" ht="13.5" thickBot="1" x14ac:dyDescent="0.25">
      <c r="C685" s="6" t="s">
        <v>7</v>
      </c>
      <c r="S685" s="9">
        <v>101677.11</v>
      </c>
      <c r="T685" s="9">
        <v>101677.11</v>
      </c>
      <c r="U685" s="9">
        <v>101677.11</v>
      </c>
      <c r="V685" s="9">
        <v>101677.11</v>
      </c>
      <c r="W685" s="9">
        <v>101677.11</v>
      </c>
      <c r="X685" s="9">
        <v>101677.11</v>
      </c>
      <c r="Y685" s="9">
        <v>101677.11</v>
      </c>
      <c r="Z685" s="9">
        <v>101677.11</v>
      </c>
      <c r="AA685" s="9">
        <v>101677.11</v>
      </c>
      <c r="AB685" s="9">
        <v>101677.11</v>
      </c>
      <c r="AC685" s="9">
        <v>101677.11</v>
      </c>
      <c r="AD685" s="25">
        <v>101677.11</v>
      </c>
      <c r="AE685" s="9">
        <f>SUM(S685:AD685)</f>
        <v>1220125.32</v>
      </c>
    </row>
    <row r="686" spans="1:31" ht="13.5" thickBot="1" x14ac:dyDescent="0.25">
      <c r="C686" s="10" t="s">
        <v>221</v>
      </c>
      <c r="S686" s="11">
        <f t="shared" ref="S686:AD686" si="163">SUM(S683:S685)</f>
        <v>101927.11</v>
      </c>
      <c r="T686" s="11">
        <f t="shared" si="163"/>
        <v>101677.11</v>
      </c>
      <c r="U686" s="11">
        <f t="shared" si="163"/>
        <v>101677.11</v>
      </c>
      <c r="V686" s="11">
        <f t="shared" si="163"/>
        <v>101677.11</v>
      </c>
      <c r="W686" s="11">
        <f t="shared" si="163"/>
        <v>101677.11</v>
      </c>
      <c r="X686" s="11">
        <f t="shared" si="163"/>
        <v>101677.11</v>
      </c>
      <c r="Y686" s="11">
        <f t="shared" si="163"/>
        <v>101677.11</v>
      </c>
      <c r="Z686" s="11">
        <f t="shared" si="163"/>
        <v>101677.11</v>
      </c>
      <c r="AA686" s="11">
        <f t="shared" si="163"/>
        <v>101677.11</v>
      </c>
      <c r="AB686" s="11">
        <f t="shared" si="163"/>
        <v>101677.11</v>
      </c>
      <c r="AC686" s="11">
        <f t="shared" si="163"/>
        <v>101677.11</v>
      </c>
      <c r="AD686" s="38">
        <f t="shared" si="163"/>
        <v>101677.11</v>
      </c>
      <c r="AE686" s="11">
        <f>SUM(AE683:AE685)</f>
        <v>1220375.32</v>
      </c>
    </row>
    <row r="687" spans="1:31" x14ac:dyDescent="0.2">
      <c r="C687" s="12"/>
    </row>
    <row r="688" spans="1:31" ht="15.75" x14ac:dyDescent="0.25">
      <c r="A688" s="15">
        <f>+A682+1</f>
        <v>85</v>
      </c>
      <c r="C688" s="19" t="s">
        <v>222</v>
      </c>
    </row>
    <row r="689" spans="1:31" x14ac:dyDescent="0.2">
      <c r="C689" s="6" t="s">
        <v>5</v>
      </c>
      <c r="S689" s="9">
        <v>1494.17</v>
      </c>
      <c r="T689" s="9">
        <v>1494.17</v>
      </c>
      <c r="U689" s="9">
        <v>1494.17</v>
      </c>
      <c r="V689" s="9">
        <v>1494.17</v>
      </c>
      <c r="W689" s="9">
        <v>1494.17</v>
      </c>
      <c r="X689" s="9">
        <v>1494.17</v>
      </c>
      <c r="Y689" s="9">
        <v>1494.17</v>
      </c>
      <c r="Z689" s="9">
        <v>1494.17</v>
      </c>
      <c r="AA689" s="9">
        <v>1494.17</v>
      </c>
      <c r="AB689" s="9">
        <v>1494.17</v>
      </c>
      <c r="AC689" s="9">
        <v>1494.17</v>
      </c>
      <c r="AD689" s="25">
        <v>1485.83</v>
      </c>
      <c r="AE689" s="9">
        <f>SUM(S689:AD689)</f>
        <v>17921.700000000004</v>
      </c>
    </row>
    <row r="690" spans="1:31" x14ac:dyDescent="0.2">
      <c r="C690" s="6" t="s">
        <v>6</v>
      </c>
      <c r="S690" s="20">
        <v>250</v>
      </c>
      <c r="AE690" s="9">
        <f>SUM(S690:AD690)</f>
        <v>250</v>
      </c>
    </row>
    <row r="691" spans="1:31" ht="13.5" thickBot="1" x14ac:dyDescent="0.25">
      <c r="C691" s="6" t="s">
        <v>7</v>
      </c>
      <c r="S691" s="9">
        <f>8333.33+48125</f>
        <v>56458.33</v>
      </c>
      <c r="T691" s="9">
        <f>30416.67+47791.67</f>
        <v>78208.34</v>
      </c>
      <c r="U691" s="9">
        <f t="shared" ref="U691:AD691" si="164">30416.67+47791.67</f>
        <v>78208.34</v>
      </c>
      <c r="V691" s="9">
        <f t="shared" si="164"/>
        <v>78208.34</v>
      </c>
      <c r="W691" s="9">
        <f t="shared" si="164"/>
        <v>78208.34</v>
      </c>
      <c r="X691" s="9">
        <f t="shared" si="164"/>
        <v>78208.34</v>
      </c>
      <c r="Y691" s="9">
        <f t="shared" si="164"/>
        <v>78208.34</v>
      </c>
      <c r="Z691" s="9">
        <f t="shared" si="164"/>
        <v>78208.34</v>
      </c>
      <c r="AA691" s="9">
        <f t="shared" si="164"/>
        <v>78208.34</v>
      </c>
      <c r="AB691" s="9">
        <f t="shared" si="164"/>
        <v>78208.34</v>
      </c>
      <c r="AC691" s="9">
        <f t="shared" si="164"/>
        <v>78208.34</v>
      </c>
      <c r="AD691" s="25">
        <f t="shared" si="164"/>
        <v>78208.34</v>
      </c>
      <c r="AE691" s="9">
        <f>SUM(S691:AD691)</f>
        <v>916750.06999999972</v>
      </c>
    </row>
    <row r="692" spans="1:31" ht="13.5" thickBot="1" x14ac:dyDescent="0.25">
      <c r="C692" s="10" t="s">
        <v>223</v>
      </c>
      <c r="S692" s="11">
        <f t="shared" ref="S692:AD692" si="165">SUM(S689:S691)</f>
        <v>58202.5</v>
      </c>
      <c r="T692" s="11">
        <f t="shared" si="165"/>
        <v>79702.509999999995</v>
      </c>
      <c r="U692" s="11">
        <f t="shared" si="165"/>
        <v>79702.509999999995</v>
      </c>
      <c r="V692" s="11">
        <f t="shared" si="165"/>
        <v>79702.509999999995</v>
      </c>
      <c r="W692" s="11">
        <f t="shared" si="165"/>
        <v>79702.509999999995</v>
      </c>
      <c r="X692" s="11">
        <f t="shared" si="165"/>
        <v>79702.509999999995</v>
      </c>
      <c r="Y692" s="11">
        <f t="shared" si="165"/>
        <v>79702.509999999995</v>
      </c>
      <c r="Z692" s="11">
        <f t="shared" si="165"/>
        <v>79702.509999999995</v>
      </c>
      <c r="AA692" s="11">
        <f t="shared" si="165"/>
        <v>79702.509999999995</v>
      </c>
      <c r="AB692" s="11">
        <f t="shared" si="165"/>
        <v>79702.509999999995</v>
      </c>
      <c r="AC692" s="11">
        <f t="shared" si="165"/>
        <v>79702.509999999995</v>
      </c>
      <c r="AD692" s="38">
        <f t="shared" si="165"/>
        <v>79694.17</v>
      </c>
      <c r="AE692" s="11">
        <f>SUM(AE689:AE691)</f>
        <v>934921.76999999967</v>
      </c>
    </row>
    <row r="693" spans="1:31" x14ac:dyDescent="0.2">
      <c r="C693" s="12"/>
    </row>
    <row r="694" spans="1:31" ht="15.75" x14ac:dyDescent="0.25">
      <c r="A694" s="15">
        <f>+A688+1</f>
        <v>86</v>
      </c>
      <c r="C694" s="19" t="s">
        <v>224</v>
      </c>
    </row>
    <row r="695" spans="1:31" x14ac:dyDescent="0.2">
      <c r="C695" s="6" t="s">
        <v>5</v>
      </c>
      <c r="S695" s="26">
        <v>691.67</v>
      </c>
      <c r="T695" s="26">
        <v>691.67</v>
      </c>
      <c r="U695" s="26">
        <v>691.67</v>
      </c>
      <c r="V695" s="26">
        <v>691.67</v>
      </c>
      <c r="W695" s="26">
        <v>691.67</v>
      </c>
      <c r="X695" s="26">
        <v>691.67</v>
      </c>
      <c r="Y695" s="26">
        <v>691.67</v>
      </c>
      <c r="Z695" s="26">
        <v>691.67</v>
      </c>
      <c r="AA695" s="26">
        <v>691.67</v>
      </c>
      <c r="AB695" s="26">
        <v>691.67</v>
      </c>
      <c r="AC695" s="26">
        <v>691.67</v>
      </c>
      <c r="AD695" s="39">
        <v>691.67</v>
      </c>
      <c r="AE695" s="9">
        <f>SUM(S695:AD695)</f>
        <v>8300.0399999999991</v>
      </c>
    </row>
    <row r="696" spans="1:31" x14ac:dyDescent="0.2">
      <c r="C696" s="6" t="s">
        <v>6</v>
      </c>
      <c r="S696" s="20">
        <v>250</v>
      </c>
      <c r="AE696" s="9">
        <f>SUM(S696:AD696)</f>
        <v>250</v>
      </c>
    </row>
    <row r="697" spans="1:31" ht="13.5" thickBot="1" x14ac:dyDescent="0.25">
      <c r="C697" s="6" t="s">
        <v>7</v>
      </c>
      <c r="S697" s="20">
        <f>25416.67+27314.58</f>
        <v>52731.25</v>
      </c>
      <c r="T697" s="20">
        <f t="shared" ref="T697:AC697" si="166">25416.67+27314.58</f>
        <v>52731.25</v>
      </c>
      <c r="U697" s="20">
        <f t="shared" si="166"/>
        <v>52731.25</v>
      </c>
      <c r="V697" s="20">
        <f t="shared" si="166"/>
        <v>52731.25</v>
      </c>
      <c r="W697" s="20">
        <f t="shared" si="166"/>
        <v>52731.25</v>
      </c>
      <c r="X697" s="20">
        <f>25416.67+27314.6</f>
        <v>52731.27</v>
      </c>
      <c r="Y697" s="20">
        <f t="shared" si="166"/>
        <v>52731.25</v>
      </c>
      <c r="Z697" s="20">
        <f t="shared" si="166"/>
        <v>52731.25</v>
      </c>
      <c r="AA697" s="20">
        <f t="shared" si="166"/>
        <v>52731.25</v>
      </c>
      <c r="AB697" s="20">
        <f t="shared" si="166"/>
        <v>52731.25</v>
      </c>
      <c r="AC697" s="20">
        <f t="shared" si="166"/>
        <v>52731.25</v>
      </c>
      <c r="AD697" s="37">
        <f>25416.63+27314.6</f>
        <v>52731.229999999996</v>
      </c>
      <c r="AE697" s="9">
        <f>SUM(S697:AD697)</f>
        <v>632775</v>
      </c>
    </row>
    <row r="698" spans="1:31" ht="13.5" thickBot="1" x14ac:dyDescent="0.25">
      <c r="C698" s="10" t="s">
        <v>225</v>
      </c>
      <c r="S698" s="11">
        <f t="shared" ref="S698:AD698" si="167">SUM(S695:S697)</f>
        <v>53672.92</v>
      </c>
      <c r="T698" s="11">
        <f t="shared" si="167"/>
        <v>53422.92</v>
      </c>
      <c r="U698" s="11">
        <f t="shared" si="167"/>
        <v>53422.92</v>
      </c>
      <c r="V698" s="11">
        <f t="shared" si="167"/>
        <v>53422.92</v>
      </c>
      <c r="W698" s="11">
        <f t="shared" si="167"/>
        <v>53422.92</v>
      </c>
      <c r="X698" s="11">
        <f t="shared" si="167"/>
        <v>53422.939999999995</v>
      </c>
      <c r="Y698" s="11">
        <f t="shared" si="167"/>
        <v>53422.92</v>
      </c>
      <c r="Z698" s="11">
        <f t="shared" si="167"/>
        <v>53422.92</v>
      </c>
      <c r="AA698" s="11">
        <f t="shared" si="167"/>
        <v>53422.92</v>
      </c>
      <c r="AB698" s="11">
        <f t="shared" si="167"/>
        <v>53422.92</v>
      </c>
      <c r="AC698" s="11">
        <f t="shared" si="167"/>
        <v>53422.92</v>
      </c>
      <c r="AD698" s="38">
        <f t="shared" si="167"/>
        <v>53422.899999999994</v>
      </c>
      <c r="AE698" s="11">
        <f>SUM(AE695:AE697)</f>
        <v>641325.04</v>
      </c>
    </row>
    <row r="699" spans="1:31" x14ac:dyDescent="0.2">
      <c r="C699" s="12"/>
    </row>
    <row r="700" spans="1:31" ht="15.75" x14ac:dyDescent="0.25">
      <c r="A700" s="15">
        <f>+A694+1</f>
        <v>87</v>
      </c>
      <c r="C700" s="19" t="s">
        <v>226</v>
      </c>
    </row>
    <row r="701" spans="1:31" x14ac:dyDescent="0.2">
      <c r="C701" s="6" t="s">
        <v>5</v>
      </c>
      <c r="S701" s="9">
        <v>0</v>
      </c>
      <c r="T701" s="9">
        <v>0</v>
      </c>
      <c r="U701" s="9">
        <v>0</v>
      </c>
      <c r="V701" s="9">
        <v>0</v>
      </c>
      <c r="W701" s="9">
        <v>0</v>
      </c>
      <c r="X701" s="9">
        <v>0</v>
      </c>
      <c r="Y701" s="9">
        <v>0</v>
      </c>
      <c r="Z701" s="9">
        <v>0</v>
      </c>
      <c r="AA701" s="9">
        <v>0</v>
      </c>
      <c r="AB701" s="9">
        <v>0</v>
      </c>
      <c r="AC701" s="9">
        <v>0</v>
      </c>
      <c r="AD701" s="25">
        <v>0</v>
      </c>
      <c r="AE701" s="9">
        <f>SUM(S701:AD701)</f>
        <v>0</v>
      </c>
    </row>
    <row r="702" spans="1:31" x14ac:dyDescent="0.2">
      <c r="C702" s="6" t="s">
        <v>6</v>
      </c>
      <c r="S702" s="20">
        <v>250</v>
      </c>
      <c r="AE702" s="9">
        <f>SUM(S702:AD702)</f>
        <v>250</v>
      </c>
    </row>
    <row r="703" spans="1:31" ht="13.5" thickBot="1" x14ac:dyDescent="0.25">
      <c r="C703" s="6" t="s">
        <v>7</v>
      </c>
      <c r="S703" s="9">
        <v>93484.84</v>
      </c>
      <c r="T703" s="9">
        <v>93484.84</v>
      </c>
      <c r="U703" s="9">
        <v>93484.84</v>
      </c>
      <c r="V703" s="9">
        <v>93484.84</v>
      </c>
      <c r="W703" s="9">
        <v>93484.84</v>
      </c>
      <c r="X703" s="9">
        <v>93484.84</v>
      </c>
      <c r="Y703" s="9">
        <v>93484.84</v>
      </c>
      <c r="Z703" s="9">
        <v>93484.84</v>
      </c>
      <c r="AA703" s="9">
        <v>93484.84</v>
      </c>
      <c r="AB703" s="9">
        <v>93484.84</v>
      </c>
      <c r="AC703" s="9">
        <v>93484.800000000003</v>
      </c>
      <c r="AD703" s="25">
        <f>2510.42+93484.84</f>
        <v>95995.26</v>
      </c>
      <c r="AE703" s="9">
        <f>SUM(S703:AD703)</f>
        <v>1124328.4599999997</v>
      </c>
    </row>
    <row r="704" spans="1:31" ht="13.5" thickBot="1" x14ac:dyDescent="0.25">
      <c r="C704" s="10" t="s">
        <v>227</v>
      </c>
      <c r="S704" s="11">
        <f t="shared" ref="S704:AD704" si="168">SUM(S701:S703)</f>
        <v>93734.84</v>
      </c>
      <c r="T704" s="11">
        <f t="shared" si="168"/>
        <v>93484.84</v>
      </c>
      <c r="U704" s="11">
        <f t="shared" si="168"/>
        <v>93484.84</v>
      </c>
      <c r="V704" s="11">
        <f t="shared" si="168"/>
        <v>93484.84</v>
      </c>
      <c r="W704" s="11">
        <f t="shared" si="168"/>
        <v>93484.84</v>
      </c>
      <c r="X704" s="11">
        <f t="shared" si="168"/>
        <v>93484.84</v>
      </c>
      <c r="Y704" s="11">
        <f t="shared" si="168"/>
        <v>93484.84</v>
      </c>
      <c r="Z704" s="11">
        <f t="shared" si="168"/>
        <v>93484.84</v>
      </c>
      <c r="AA704" s="11">
        <f t="shared" si="168"/>
        <v>93484.84</v>
      </c>
      <c r="AB704" s="11">
        <f t="shared" si="168"/>
        <v>93484.84</v>
      </c>
      <c r="AC704" s="11">
        <f t="shared" si="168"/>
        <v>93484.800000000003</v>
      </c>
      <c r="AD704" s="38">
        <f t="shared" si="168"/>
        <v>95995.26</v>
      </c>
      <c r="AE704" s="11">
        <f>SUM(AE701:AE703)</f>
        <v>1124578.4599999997</v>
      </c>
    </row>
    <row r="705" spans="1:31" x14ac:dyDescent="0.2">
      <c r="C705" s="12"/>
    </row>
    <row r="706" spans="1:31" ht="15.75" x14ac:dyDescent="0.25">
      <c r="A706" s="15">
        <f>+A700+1</f>
        <v>88</v>
      </c>
      <c r="C706" s="19" t="s">
        <v>228</v>
      </c>
    </row>
    <row r="707" spans="1:31" x14ac:dyDescent="0.2">
      <c r="C707" s="6" t="s">
        <v>5</v>
      </c>
      <c r="S707" s="9">
        <v>0</v>
      </c>
      <c r="T707" s="9">
        <v>0</v>
      </c>
      <c r="U707" s="9">
        <v>0</v>
      </c>
      <c r="V707" s="9">
        <v>0</v>
      </c>
      <c r="W707" s="9">
        <v>0</v>
      </c>
      <c r="X707" s="9">
        <v>0</v>
      </c>
      <c r="Y707" s="9">
        <v>0</v>
      </c>
      <c r="Z707" s="9">
        <v>0</v>
      </c>
      <c r="AA707" s="9">
        <v>0</v>
      </c>
      <c r="AB707" s="9">
        <v>0</v>
      </c>
      <c r="AC707" s="9">
        <v>0</v>
      </c>
      <c r="AD707" s="25">
        <v>0</v>
      </c>
      <c r="AE707" s="9">
        <f>SUM(S707:AD707)</f>
        <v>0</v>
      </c>
    </row>
    <row r="708" spans="1:31" x14ac:dyDescent="0.2">
      <c r="C708" s="6" t="s">
        <v>6</v>
      </c>
      <c r="S708" s="20">
        <v>250</v>
      </c>
      <c r="AE708" s="9">
        <f>SUM(S708:AD708)</f>
        <v>250</v>
      </c>
    </row>
    <row r="709" spans="1:31" ht="13.5" thickBot="1" x14ac:dyDescent="0.25">
      <c r="C709" s="6" t="s">
        <v>7</v>
      </c>
      <c r="S709" s="9">
        <v>57680.47</v>
      </c>
      <c r="T709" s="9">
        <v>57680.47</v>
      </c>
      <c r="U709" s="9">
        <v>57680.47</v>
      </c>
      <c r="V709" s="9">
        <v>57680.47</v>
      </c>
      <c r="W709" s="9">
        <v>57680.47</v>
      </c>
      <c r="X709" s="9">
        <v>57680.45</v>
      </c>
      <c r="Y709" s="9">
        <v>57680.47</v>
      </c>
      <c r="Z709" s="9">
        <v>57680.47</v>
      </c>
      <c r="AA709" s="9">
        <v>57680.47</v>
      </c>
      <c r="AB709" s="9">
        <v>57680.47</v>
      </c>
      <c r="AC709" s="9">
        <v>57680.47</v>
      </c>
      <c r="AD709" s="25">
        <v>57680.47</v>
      </c>
      <c r="AE709" s="9">
        <f>SUM(S709:AD709)</f>
        <v>692165.61999999988</v>
      </c>
    </row>
    <row r="710" spans="1:31" ht="13.5" thickBot="1" x14ac:dyDescent="0.25">
      <c r="C710" s="10" t="s">
        <v>153</v>
      </c>
      <c r="S710" s="11">
        <f t="shared" ref="S710:AD710" si="169">SUM(S707:S709)</f>
        <v>57930.47</v>
      </c>
      <c r="T710" s="11">
        <f t="shared" si="169"/>
        <v>57680.47</v>
      </c>
      <c r="U710" s="11">
        <f t="shared" si="169"/>
        <v>57680.47</v>
      </c>
      <c r="V710" s="11">
        <f t="shared" si="169"/>
        <v>57680.47</v>
      </c>
      <c r="W710" s="11">
        <f t="shared" si="169"/>
        <v>57680.47</v>
      </c>
      <c r="X710" s="11">
        <f t="shared" si="169"/>
        <v>57680.45</v>
      </c>
      <c r="Y710" s="11">
        <f t="shared" si="169"/>
        <v>57680.47</v>
      </c>
      <c r="Z710" s="11">
        <f t="shared" si="169"/>
        <v>57680.47</v>
      </c>
      <c r="AA710" s="11">
        <f t="shared" si="169"/>
        <v>57680.47</v>
      </c>
      <c r="AB710" s="11">
        <f t="shared" si="169"/>
        <v>57680.47</v>
      </c>
      <c r="AC710" s="11">
        <f t="shared" si="169"/>
        <v>57680.47</v>
      </c>
      <c r="AD710" s="38">
        <f t="shared" si="169"/>
        <v>57680.47</v>
      </c>
      <c r="AE710" s="11">
        <f>SUM(AE707:AE709)</f>
        <v>692415.61999999988</v>
      </c>
    </row>
    <row r="711" spans="1:31" x14ac:dyDescent="0.2">
      <c r="C711" s="12"/>
    </row>
    <row r="712" spans="1:31" ht="15.75" x14ac:dyDescent="0.25">
      <c r="A712" s="15">
        <f>+A706+1</f>
        <v>89</v>
      </c>
      <c r="C712" s="19" t="s">
        <v>229</v>
      </c>
    </row>
    <row r="713" spans="1:31" x14ac:dyDescent="0.2">
      <c r="C713" s="6" t="s">
        <v>5</v>
      </c>
      <c r="S713" s="9">
        <v>634.58000000000004</v>
      </c>
      <c r="T713" s="9">
        <v>634.58000000000004</v>
      </c>
      <c r="U713" s="9">
        <v>634.58000000000004</v>
      </c>
      <c r="V713" s="9">
        <v>625.41999999999996</v>
      </c>
      <c r="W713" s="9">
        <v>625.41999999999996</v>
      </c>
      <c r="X713" s="9">
        <v>625.41999999999996</v>
      </c>
      <c r="Y713" s="9">
        <v>625.41999999999996</v>
      </c>
      <c r="Z713" s="9">
        <v>625.41999999999996</v>
      </c>
      <c r="AA713" s="9">
        <v>625.41999999999996</v>
      </c>
      <c r="AB713" s="9">
        <v>625.41999999999996</v>
      </c>
      <c r="AC713" s="9">
        <v>625.41999999999996</v>
      </c>
      <c r="AD713" s="25">
        <v>625.41999999999996</v>
      </c>
      <c r="AE713" s="9">
        <f>SUM(S713:AD713)</f>
        <v>7532.52</v>
      </c>
    </row>
    <row r="714" spans="1:31" x14ac:dyDescent="0.2">
      <c r="C714" s="6" t="s">
        <v>6</v>
      </c>
      <c r="S714" s="20">
        <v>250</v>
      </c>
      <c r="AE714" s="9">
        <f>SUM(S714:AD714)</f>
        <v>250</v>
      </c>
    </row>
    <row r="715" spans="1:31" ht="13.5" thickBot="1" x14ac:dyDescent="0.25">
      <c r="C715" s="6" t="s">
        <v>7</v>
      </c>
      <c r="S715" s="20">
        <f>12500+21870.83</f>
        <v>34370.83</v>
      </c>
      <c r="T715" s="20">
        <f t="shared" ref="T715:AC715" si="170">12500+21870.83</f>
        <v>34370.83</v>
      </c>
      <c r="U715" s="20">
        <f t="shared" si="170"/>
        <v>34370.83</v>
      </c>
      <c r="V715" s="20">
        <f t="shared" si="170"/>
        <v>34370.83</v>
      </c>
      <c r="W715" s="20">
        <f t="shared" si="170"/>
        <v>34370.83</v>
      </c>
      <c r="X715" s="20">
        <f>12500+21870.85</f>
        <v>34370.85</v>
      </c>
      <c r="Y715" s="20">
        <f t="shared" si="170"/>
        <v>34370.83</v>
      </c>
      <c r="Z715" s="20">
        <f t="shared" si="170"/>
        <v>34370.83</v>
      </c>
      <c r="AA715" s="20">
        <f t="shared" si="170"/>
        <v>34370.83</v>
      </c>
      <c r="AB715" s="20">
        <f t="shared" si="170"/>
        <v>34370.83</v>
      </c>
      <c r="AC715" s="20">
        <f t="shared" si="170"/>
        <v>34370.83</v>
      </c>
      <c r="AD715" s="37">
        <f>12500+21870.85</f>
        <v>34370.85</v>
      </c>
      <c r="AE715" s="9">
        <f>SUM(S715:AD715)</f>
        <v>412450.00000000006</v>
      </c>
    </row>
    <row r="716" spans="1:31" ht="13.5" thickBot="1" x14ac:dyDescent="0.25">
      <c r="C716" s="10" t="s">
        <v>70</v>
      </c>
      <c r="S716" s="11">
        <f t="shared" ref="S716:AD716" si="171">SUM(S713:S715)</f>
        <v>35255.410000000003</v>
      </c>
      <c r="T716" s="11">
        <f t="shared" si="171"/>
        <v>35005.410000000003</v>
      </c>
      <c r="U716" s="11">
        <f t="shared" si="171"/>
        <v>35005.410000000003</v>
      </c>
      <c r="V716" s="11">
        <f t="shared" si="171"/>
        <v>34996.25</v>
      </c>
      <c r="W716" s="11">
        <f t="shared" si="171"/>
        <v>34996.25</v>
      </c>
      <c r="X716" s="11">
        <f t="shared" si="171"/>
        <v>34996.269999999997</v>
      </c>
      <c r="Y716" s="11">
        <f t="shared" si="171"/>
        <v>34996.25</v>
      </c>
      <c r="Z716" s="11">
        <f t="shared" si="171"/>
        <v>34996.25</v>
      </c>
      <c r="AA716" s="11">
        <f t="shared" si="171"/>
        <v>34996.25</v>
      </c>
      <c r="AB716" s="11">
        <f t="shared" si="171"/>
        <v>34996.25</v>
      </c>
      <c r="AC716" s="11">
        <f t="shared" si="171"/>
        <v>34996.25</v>
      </c>
      <c r="AD716" s="38">
        <f t="shared" si="171"/>
        <v>34996.269999999997</v>
      </c>
      <c r="AE716" s="11">
        <f>SUM(AE713:AE715)</f>
        <v>420232.52000000008</v>
      </c>
    </row>
    <row r="717" spans="1:31" x14ac:dyDescent="0.2">
      <c r="C717" s="12"/>
    </row>
    <row r="718" spans="1:31" ht="15.75" x14ac:dyDescent="0.25">
      <c r="A718" s="15">
        <f>+A712+1</f>
        <v>90</v>
      </c>
      <c r="C718" s="19" t="s">
        <v>230</v>
      </c>
    </row>
    <row r="719" spans="1:31" x14ac:dyDescent="0.2">
      <c r="C719" s="6" t="s">
        <v>5</v>
      </c>
      <c r="S719" s="9">
        <v>2665</v>
      </c>
      <c r="T719" s="9">
        <v>2665</v>
      </c>
      <c r="U719" s="9">
        <v>2665</v>
      </c>
      <c r="V719" s="9">
        <v>2436.67</v>
      </c>
      <c r="W719" s="9">
        <v>2436.67</v>
      </c>
      <c r="X719" s="9">
        <v>2436.67</v>
      </c>
      <c r="Y719" s="9">
        <v>2436.67</v>
      </c>
      <c r="Z719" s="9">
        <v>2436.67</v>
      </c>
      <c r="AA719" s="9">
        <v>2436.67</v>
      </c>
      <c r="AB719" s="9">
        <v>2436.67</v>
      </c>
      <c r="AC719" s="9">
        <v>2436.67</v>
      </c>
      <c r="AD719" s="25">
        <v>2436.67</v>
      </c>
      <c r="AE719" s="9">
        <f>SUM(S719:AD719)</f>
        <v>29925.029999999992</v>
      </c>
    </row>
    <row r="720" spans="1:31" x14ac:dyDescent="0.2">
      <c r="C720" s="6" t="s">
        <v>6</v>
      </c>
      <c r="S720" s="20">
        <v>250</v>
      </c>
      <c r="AE720" s="9">
        <f>SUM(S720:AD720)</f>
        <v>250</v>
      </c>
    </row>
    <row r="721" spans="1:31" ht="13.5" thickBot="1" x14ac:dyDescent="0.25">
      <c r="C721" s="6" t="s">
        <v>7</v>
      </c>
      <c r="S721" s="9">
        <f t="shared" ref="S721:W721" si="172">64583.33+80951.88</f>
        <v>145535.21000000002</v>
      </c>
      <c r="T721" s="9">
        <f t="shared" si="172"/>
        <v>145535.21000000002</v>
      </c>
      <c r="U721" s="9">
        <f t="shared" si="172"/>
        <v>145535.21000000002</v>
      </c>
      <c r="V721" s="9">
        <f t="shared" si="172"/>
        <v>145535.21000000002</v>
      </c>
      <c r="W721" s="9">
        <f t="shared" si="172"/>
        <v>145535.21000000002</v>
      </c>
      <c r="X721" s="9">
        <f>66666.67+78965.24</f>
        <v>145631.91</v>
      </c>
      <c r="Y721" s="9">
        <f t="shared" ref="Y721:AD721" si="173">66666.67+78965.24</f>
        <v>145631.91</v>
      </c>
      <c r="Z721" s="9">
        <f t="shared" si="173"/>
        <v>145631.91</v>
      </c>
      <c r="AA721" s="9">
        <f t="shared" si="173"/>
        <v>145631.91</v>
      </c>
      <c r="AB721" s="9">
        <f t="shared" si="173"/>
        <v>145631.91</v>
      </c>
      <c r="AC721" s="9">
        <f t="shared" si="173"/>
        <v>145631.91</v>
      </c>
      <c r="AD721" s="25">
        <f t="shared" si="173"/>
        <v>145631.91</v>
      </c>
      <c r="AE721" s="9">
        <f>SUM(S721:AD721)</f>
        <v>1747099.4199999997</v>
      </c>
    </row>
    <row r="722" spans="1:31" ht="13.5" thickBot="1" x14ac:dyDescent="0.25">
      <c r="C722" s="10" t="s">
        <v>89</v>
      </c>
      <c r="S722" s="11">
        <f t="shared" ref="S722:AD722" si="174">SUM(S719:S721)</f>
        <v>148450.21000000002</v>
      </c>
      <c r="T722" s="11">
        <f t="shared" si="174"/>
        <v>148200.21000000002</v>
      </c>
      <c r="U722" s="11">
        <f t="shared" si="174"/>
        <v>148200.21000000002</v>
      </c>
      <c r="V722" s="11">
        <f t="shared" si="174"/>
        <v>147971.88000000003</v>
      </c>
      <c r="W722" s="11">
        <f t="shared" si="174"/>
        <v>147971.88000000003</v>
      </c>
      <c r="X722" s="11">
        <f t="shared" si="174"/>
        <v>148068.58000000002</v>
      </c>
      <c r="Y722" s="11">
        <f t="shared" si="174"/>
        <v>148068.58000000002</v>
      </c>
      <c r="Z722" s="11">
        <f t="shared" si="174"/>
        <v>148068.58000000002</v>
      </c>
      <c r="AA722" s="11">
        <f t="shared" si="174"/>
        <v>148068.58000000002</v>
      </c>
      <c r="AB722" s="11">
        <f t="shared" si="174"/>
        <v>148068.58000000002</v>
      </c>
      <c r="AC722" s="11">
        <f t="shared" si="174"/>
        <v>148068.58000000002</v>
      </c>
      <c r="AD722" s="38">
        <f t="shared" si="174"/>
        <v>148068.58000000002</v>
      </c>
      <c r="AE722" s="11">
        <f>SUM(AE719:AE721)</f>
        <v>1777274.4499999997</v>
      </c>
    </row>
    <row r="723" spans="1:31" x14ac:dyDescent="0.2">
      <c r="C723" s="12"/>
    </row>
    <row r="724" spans="1:31" ht="15.75" x14ac:dyDescent="0.25">
      <c r="A724" s="15">
        <f>+A718+1</f>
        <v>91</v>
      </c>
      <c r="C724" s="19" t="s">
        <v>231</v>
      </c>
    </row>
    <row r="725" spans="1:31" x14ac:dyDescent="0.2">
      <c r="C725" s="6" t="s">
        <v>5</v>
      </c>
      <c r="S725" s="9">
        <v>1491.5</v>
      </c>
      <c r="T725" s="9">
        <v>1491.5</v>
      </c>
      <c r="U725" s="9">
        <v>1211.25</v>
      </c>
      <c r="V725" s="9">
        <v>1211.25</v>
      </c>
      <c r="W725" s="9">
        <v>1211.25</v>
      </c>
      <c r="X725" s="9">
        <v>1211.25</v>
      </c>
      <c r="Y725" s="9">
        <v>1211.25</v>
      </c>
      <c r="Z725" s="9">
        <v>1211.25</v>
      </c>
      <c r="AA725" s="9">
        <v>1211.25</v>
      </c>
      <c r="AB725" s="9">
        <v>1211.25</v>
      </c>
      <c r="AC725" s="9">
        <v>1211.25</v>
      </c>
      <c r="AD725" s="25">
        <v>1211.25</v>
      </c>
      <c r="AE725" s="9">
        <f>SUM(S725:AD725)</f>
        <v>15095.5</v>
      </c>
    </row>
    <row r="726" spans="1:31" x14ac:dyDescent="0.2">
      <c r="C726" s="6" t="s">
        <v>6</v>
      </c>
      <c r="S726" s="20">
        <v>250</v>
      </c>
      <c r="AE726" s="9">
        <f>SUM(S726:AD726)</f>
        <v>250</v>
      </c>
    </row>
    <row r="727" spans="1:31" ht="13.5" thickBot="1" x14ac:dyDescent="0.25">
      <c r="C727" s="6" t="s">
        <v>7</v>
      </c>
      <c r="S727" s="9">
        <f>36500+50933.34</f>
        <v>87433.34</v>
      </c>
      <c r="T727" s="9">
        <f>36500+50933.3</f>
        <v>87433.3</v>
      </c>
      <c r="U727" s="20">
        <f>31666.67+49716.67</f>
        <v>81383.34</v>
      </c>
      <c r="V727" s="20">
        <f t="shared" ref="V727:AD727" si="175">31666.67+49716.67</f>
        <v>81383.34</v>
      </c>
      <c r="W727" s="20">
        <f t="shared" si="175"/>
        <v>81383.34</v>
      </c>
      <c r="X727" s="20">
        <f t="shared" si="175"/>
        <v>81383.34</v>
      </c>
      <c r="Y727" s="20">
        <f t="shared" si="175"/>
        <v>81383.34</v>
      </c>
      <c r="Z727" s="20">
        <f t="shared" si="175"/>
        <v>81383.34</v>
      </c>
      <c r="AA727" s="20">
        <f t="shared" si="175"/>
        <v>81383.34</v>
      </c>
      <c r="AB727" s="20">
        <f t="shared" si="175"/>
        <v>81383.34</v>
      </c>
      <c r="AC727" s="20">
        <f t="shared" si="175"/>
        <v>81383.34</v>
      </c>
      <c r="AD727" s="37">
        <f t="shared" si="175"/>
        <v>81383.34</v>
      </c>
      <c r="AE727" s="9">
        <f>SUM(S727:AD727)</f>
        <v>988700.0399999998</v>
      </c>
    </row>
    <row r="728" spans="1:31" ht="13.5" thickBot="1" x14ac:dyDescent="0.25">
      <c r="C728" s="10" t="s">
        <v>87</v>
      </c>
      <c r="S728" s="11">
        <f t="shared" ref="S728:AD728" si="176">SUM(S725:S727)</f>
        <v>89174.84</v>
      </c>
      <c r="T728" s="11">
        <f t="shared" si="176"/>
        <v>88924.800000000003</v>
      </c>
      <c r="U728" s="11">
        <f t="shared" si="176"/>
        <v>82594.59</v>
      </c>
      <c r="V728" s="11">
        <f t="shared" si="176"/>
        <v>82594.59</v>
      </c>
      <c r="W728" s="11">
        <f t="shared" si="176"/>
        <v>82594.59</v>
      </c>
      <c r="X728" s="11">
        <f t="shared" si="176"/>
        <v>82594.59</v>
      </c>
      <c r="Y728" s="11">
        <f t="shared" si="176"/>
        <v>82594.59</v>
      </c>
      <c r="Z728" s="11">
        <f t="shared" si="176"/>
        <v>82594.59</v>
      </c>
      <c r="AA728" s="11">
        <f t="shared" si="176"/>
        <v>82594.59</v>
      </c>
      <c r="AB728" s="11">
        <f t="shared" si="176"/>
        <v>82594.59</v>
      </c>
      <c r="AC728" s="11">
        <f t="shared" si="176"/>
        <v>82594.59</v>
      </c>
      <c r="AD728" s="38">
        <f t="shared" si="176"/>
        <v>82594.59</v>
      </c>
      <c r="AE728" s="11">
        <f>SUM(AE725:AE727)</f>
        <v>1004045.5399999998</v>
      </c>
    </row>
    <row r="729" spans="1:31" x14ac:dyDescent="0.2">
      <c r="C729" s="12"/>
    </row>
    <row r="730" spans="1:31" ht="15.75" x14ac:dyDescent="0.25">
      <c r="A730" s="15">
        <f>+A724+1</f>
        <v>92</v>
      </c>
      <c r="C730" s="19" t="s">
        <v>232</v>
      </c>
    </row>
    <row r="731" spans="1:31" x14ac:dyDescent="0.2">
      <c r="C731" s="6" t="s">
        <v>5</v>
      </c>
      <c r="S731" s="9">
        <v>0</v>
      </c>
      <c r="T731" s="9">
        <v>0</v>
      </c>
      <c r="U731" s="9">
        <v>0</v>
      </c>
      <c r="V731" s="9">
        <v>0</v>
      </c>
      <c r="W731" s="9">
        <v>0</v>
      </c>
      <c r="X731" s="9">
        <v>0</v>
      </c>
      <c r="Y731" s="9">
        <v>0</v>
      </c>
      <c r="Z731" s="9">
        <v>0</v>
      </c>
      <c r="AA731" s="9">
        <v>0</v>
      </c>
      <c r="AB731" s="9">
        <v>0</v>
      </c>
      <c r="AC731" s="9">
        <v>0</v>
      </c>
      <c r="AD731" s="25">
        <v>0</v>
      </c>
      <c r="AE731" s="9">
        <f>SUM(S731:AD731)</f>
        <v>0</v>
      </c>
    </row>
    <row r="732" spans="1:31" x14ac:dyDescent="0.2">
      <c r="C732" s="6" t="s">
        <v>6</v>
      </c>
      <c r="S732" s="20">
        <v>250</v>
      </c>
      <c r="AE732" s="9">
        <f>SUM(S732:AD732)</f>
        <v>250</v>
      </c>
    </row>
    <row r="733" spans="1:31" ht="13.5" thickBot="1" x14ac:dyDescent="0.25">
      <c r="C733" s="6" t="s">
        <v>7</v>
      </c>
      <c r="S733" s="9">
        <v>41416.660000000003</v>
      </c>
      <c r="T733" s="9">
        <v>41416.660000000003</v>
      </c>
      <c r="U733" s="9">
        <v>41416.699999999997</v>
      </c>
      <c r="V733" s="9">
        <f>2083.34+41416.66</f>
        <v>43500</v>
      </c>
      <c r="W733" s="9">
        <f t="shared" ref="W733:AD733" si="177">2083.34+41416.66</f>
        <v>43500</v>
      </c>
      <c r="X733" s="9">
        <f t="shared" si="177"/>
        <v>43500</v>
      </c>
      <c r="Y733" s="9">
        <f t="shared" si="177"/>
        <v>43500</v>
      </c>
      <c r="Z733" s="9">
        <f t="shared" si="177"/>
        <v>43500</v>
      </c>
      <c r="AA733" s="9">
        <f>2083.34+41416.7</f>
        <v>43500.039999999994</v>
      </c>
      <c r="AB733" s="9">
        <f t="shared" si="177"/>
        <v>43500</v>
      </c>
      <c r="AC733" s="9">
        <f t="shared" si="177"/>
        <v>43500</v>
      </c>
      <c r="AD733" s="25">
        <f t="shared" si="177"/>
        <v>43500</v>
      </c>
      <c r="AE733" s="9">
        <f>SUM(S733:AD733)</f>
        <v>515750.06</v>
      </c>
    </row>
    <row r="734" spans="1:31" ht="13.5" thickBot="1" x14ac:dyDescent="0.25">
      <c r="C734" s="10" t="s">
        <v>50</v>
      </c>
      <c r="S734" s="11">
        <f t="shared" ref="S734:AD734" si="178">SUM(S731:S733)</f>
        <v>41666.660000000003</v>
      </c>
      <c r="T734" s="11">
        <f t="shared" si="178"/>
        <v>41416.660000000003</v>
      </c>
      <c r="U734" s="11">
        <f t="shared" si="178"/>
        <v>41416.699999999997</v>
      </c>
      <c r="V734" s="11">
        <f t="shared" si="178"/>
        <v>43500</v>
      </c>
      <c r="W734" s="11">
        <f t="shared" si="178"/>
        <v>43500</v>
      </c>
      <c r="X734" s="11">
        <f t="shared" si="178"/>
        <v>43500</v>
      </c>
      <c r="Y734" s="11">
        <f t="shared" si="178"/>
        <v>43500</v>
      </c>
      <c r="Z734" s="11">
        <f t="shared" si="178"/>
        <v>43500</v>
      </c>
      <c r="AA734" s="11">
        <f t="shared" si="178"/>
        <v>43500.039999999994</v>
      </c>
      <c r="AB734" s="11">
        <f t="shared" si="178"/>
        <v>43500</v>
      </c>
      <c r="AC734" s="11">
        <f t="shared" si="178"/>
        <v>43500</v>
      </c>
      <c r="AD734" s="38">
        <f t="shared" si="178"/>
        <v>43500</v>
      </c>
      <c r="AE734" s="11">
        <f>SUM(AE731:AE733)</f>
        <v>516000.06</v>
      </c>
    </row>
    <row r="735" spans="1:31" x14ac:dyDescent="0.2">
      <c r="C735" s="12"/>
    </row>
    <row r="736" spans="1:31" ht="15.75" x14ac:dyDescent="0.25">
      <c r="A736" s="15">
        <f>+A730+1</f>
        <v>93</v>
      </c>
      <c r="C736" s="19" t="s">
        <v>233</v>
      </c>
    </row>
    <row r="737" spans="1:31" x14ac:dyDescent="0.2">
      <c r="C737" s="6" t="s">
        <v>5</v>
      </c>
      <c r="S737" s="9">
        <v>0</v>
      </c>
      <c r="T737" s="9">
        <v>0</v>
      </c>
      <c r="U737" s="9">
        <v>0</v>
      </c>
      <c r="V737" s="9">
        <v>0</v>
      </c>
      <c r="W737" s="9">
        <v>0</v>
      </c>
      <c r="X737" s="9">
        <v>0</v>
      </c>
      <c r="Y737" s="9">
        <v>0</v>
      </c>
      <c r="Z737" s="9">
        <v>0</v>
      </c>
      <c r="AA737" s="9">
        <v>0</v>
      </c>
      <c r="AB737" s="9">
        <v>0</v>
      </c>
      <c r="AC737" s="9">
        <v>0</v>
      </c>
      <c r="AD737" s="25">
        <v>0</v>
      </c>
      <c r="AE737" s="9">
        <f>SUM(S737:AD737)</f>
        <v>0</v>
      </c>
    </row>
    <row r="738" spans="1:31" x14ac:dyDescent="0.2">
      <c r="C738" s="6" t="s">
        <v>6</v>
      </c>
      <c r="S738" s="20">
        <v>250</v>
      </c>
      <c r="AE738" s="9">
        <f>SUM(S738:AD738)</f>
        <v>250</v>
      </c>
    </row>
    <row r="739" spans="1:31" ht="13.5" thickBot="1" x14ac:dyDescent="0.25">
      <c r="C739" s="6" t="s">
        <v>7</v>
      </c>
      <c r="S739" s="9">
        <v>38035.89</v>
      </c>
      <c r="T739" s="9">
        <v>38035.89</v>
      </c>
      <c r="U739" s="9">
        <v>38035.89</v>
      </c>
      <c r="V739" s="9">
        <v>38035.89</v>
      </c>
      <c r="W739" s="9">
        <v>38035.89</v>
      </c>
      <c r="X739" s="9">
        <v>38035.89</v>
      </c>
      <c r="Y739" s="9">
        <v>38035.89</v>
      </c>
      <c r="Z739" s="9">
        <v>38035.89</v>
      </c>
      <c r="AA739" s="9">
        <v>38035.89</v>
      </c>
      <c r="AB739" s="9">
        <v>38035.89</v>
      </c>
      <c r="AC739" s="9">
        <v>38035.879999999997</v>
      </c>
      <c r="AD739" s="25">
        <v>88022.5</v>
      </c>
      <c r="AE739" s="9">
        <f>SUM(S739:AD739)</f>
        <v>506417.28000000009</v>
      </c>
    </row>
    <row r="740" spans="1:31" ht="13.5" thickBot="1" x14ac:dyDescent="0.25">
      <c r="C740" s="10" t="s">
        <v>234</v>
      </c>
      <c r="S740" s="11">
        <f t="shared" ref="S740:AD740" si="179">SUM(S737:S739)</f>
        <v>38285.89</v>
      </c>
      <c r="T740" s="11">
        <f t="shared" si="179"/>
        <v>38035.89</v>
      </c>
      <c r="U740" s="11">
        <f t="shared" si="179"/>
        <v>38035.89</v>
      </c>
      <c r="V740" s="11">
        <f t="shared" si="179"/>
        <v>38035.89</v>
      </c>
      <c r="W740" s="11">
        <f t="shared" si="179"/>
        <v>38035.89</v>
      </c>
      <c r="X740" s="11">
        <f t="shared" si="179"/>
        <v>38035.89</v>
      </c>
      <c r="Y740" s="11">
        <f t="shared" si="179"/>
        <v>38035.89</v>
      </c>
      <c r="Z740" s="11">
        <f t="shared" si="179"/>
        <v>38035.89</v>
      </c>
      <c r="AA740" s="11">
        <f t="shared" si="179"/>
        <v>38035.89</v>
      </c>
      <c r="AB740" s="11">
        <f t="shared" si="179"/>
        <v>38035.89</v>
      </c>
      <c r="AC740" s="11">
        <f t="shared" si="179"/>
        <v>38035.879999999997</v>
      </c>
      <c r="AD740" s="38">
        <f t="shared" si="179"/>
        <v>88022.5</v>
      </c>
      <c r="AE740" s="11">
        <f>SUM(AE737:AE739)</f>
        <v>506667.28000000009</v>
      </c>
    </row>
    <row r="741" spans="1:31" x14ac:dyDescent="0.2">
      <c r="C741" s="12"/>
    </row>
    <row r="742" spans="1:31" ht="15.75" x14ac:dyDescent="0.25">
      <c r="A742" s="15">
        <f>+A736+1</f>
        <v>94</v>
      </c>
      <c r="B742" s="1" t="s">
        <v>139</v>
      </c>
      <c r="C742" s="19" t="s">
        <v>235</v>
      </c>
    </row>
    <row r="743" spans="1:31" x14ac:dyDescent="0.2">
      <c r="C743" s="6" t="s">
        <v>5</v>
      </c>
      <c r="S743" s="9">
        <v>0</v>
      </c>
      <c r="T743" s="9">
        <v>0</v>
      </c>
      <c r="U743" s="9">
        <v>0</v>
      </c>
      <c r="V743" s="9">
        <v>0</v>
      </c>
      <c r="W743" s="9">
        <v>0</v>
      </c>
      <c r="X743" s="9">
        <v>0</v>
      </c>
      <c r="Y743" s="9">
        <v>0</v>
      </c>
      <c r="Z743" s="9">
        <v>0</v>
      </c>
      <c r="AA743" s="9">
        <v>0</v>
      </c>
      <c r="AB743" s="9">
        <v>0</v>
      </c>
      <c r="AC743" s="9">
        <v>0</v>
      </c>
      <c r="AD743" s="25">
        <v>0</v>
      </c>
      <c r="AE743" s="9">
        <f>SUM(S743:AD743)</f>
        <v>0</v>
      </c>
    </row>
    <row r="744" spans="1:31" x14ac:dyDescent="0.2">
      <c r="C744" s="6" t="s">
        <v>6</v>
      </c>
      <c r="S744" s="20">
        <v>125</v>
      </c>
      <c r="AE744" s="9">
        <f>SUM(S744:AD744)</f>
        <v>125</v>
      </c>
    </row>
    <row r="745" spans="1:31" ht="13.5" thickBot="1" x14ac:dyDescent="0.25">
      <c r="C745" s="6" t="s">
        <v>7</v>
      </c>
      <c r="S745" s="20">
        <v>88276.800000000003</v>
      </c>
      <c r="T745" s="20">
        <v>88276.800000000003</v>
      </c>
      <c r="U745" s="20">
        <v>88276.800000000003</v>
      </c>
      <c r="V745" s="20">
        <v>88276.800000000003</v>
      </c>
      <c r="W745" s="20">
        <v>88276.800000000003</v>
      </c>
      <c r="X745" s="20">
        <v>88276.77</v>
      </c>
      <c r="Y745" s="20">
        <v>88276.800000000003</v>
      </c>
      <c r="Z745" s="20">
        <v>88276.800000000003</v>
      </c>
      <c r="AA745" s="20">
        <v>88276.800000000003</v>
      </c>
      <c r="AB745" s="20">
        <v>88276.800000000003</v>
      </c>
      <c r="AC745" s="20">
        <v>88276.800000000003</v>
      </c>
      <c r="AD745" s="37">
        <v>88276.73</v>
      </c>
      <c r="AE745" s="9">
        <f>SUM(S745:AD745)</f>
        <v>1059321.5000000002</v>
      </c>
    </row>
    <row r="746" spans="1:31" ht="13.5" thickBot="1" x14ac:dyDescent="0.25">
      <c r="C746" s="10" t="s">
        <v>236</v>
      </c>
      <c r="S746" s="11">
        <f t="shared" ref="S746:AD746" si="180">SUM(S743:S745)</f>
        <v>88401.8</v>
      </c>
      <c r="T746" s="11">
        <f t="shared" si="180"/>
        <v>88276.800000000003</v>
      </c>
      <c r="U746" s="11">
        <f t="shared" si="180"/>
        <v>88276.800000000003</v>
      </c>
      <c r="V746" s="11">
        <f t="shared" si="180"/>
        <v>88276.800000000003</v>
      </c>
      <c r="W746" s="11">
        <f t="shared" si="180"/>
        <v>88276.800000000003</v>
      </c>
      <c r="X746" s="11">
        <f t="shared" si="180"/>
        <v>88276.77</v>
      </c>
      <c r="Y746" s="11">
        <f t="shared" si="180"/>
        <v>88276.800000000003</v>
      </c>
      <c r="Z746" s="11">
        <f t="shared" si="180"/>
        <v>88276.800000000003</v>
      </c>
      <c r="AA746" s="11">
        <f t="shared" si="180"/>
        <v>88276.800000000003</v>
      </c>
      <c r="AB746" s="11">
        <f t="shared" si="180"/>
        <v>88276.800000000003</v>
      </c>
      <c r="AC746" s="11">
        <f t="shared" si="180"/>
        <v>88276.800000000003</v>
      </c>
      <c r="AD746" s="38">
        <f t="shared" si="180"/>
        <v>88276.73</v>
      </c>
      <c r="AE746" s="11">
        <f>SUM(AE743:AE745)</f>
        <v>1059446.5000000002</v>
      </c>
    </row>
    <row r="747" spans="1:31" x14ac:dyDescent="0.2">
      <c r="C747" s="12"/>
    </row>
    <row r="748" spans="1:31" ht="15.75" x14ac:dyDescent="0.25">
      <c r="A748" s="15">
        <f>A742</f>
        <v>94</v>
      </c>
      <c r="B748" s="1" t="s">
        <v>142</v>
      </c>
      <c r="C748" s="19" t="s">
        <v>237</v>
      </c>
    </row>
    <row r="749" spans="1:31" x14ac:dyDescent="0.2">
      <c r="C749" s="6" t="s">
        <v>5</v>
      </c>
      <c r="S749" s="9">
        <v>0</v>
      </c>
      <c r="T749" s="9">
        <v>0</v>
      </c>
      <c r="U749" s="9">
        <v>0</v>
      </c>
      <c r="V749" s="9">
        <v>0</v>
      </c>
      <c r="W749" s="9">
        <v>0</v>
      </c>
      <c r="X749" s="9">
        <v>0</v>
      </c>
      <c r="Y749" s="9">
        <v>0</v>
      </c>
      <c r="Z749" s="9">
        <v>0</v>
      </c>
      <c r="AA749" s="9">
        <v>0</v>
      </c>
      <c r="AB749" s="9">
        <v>0</v>
      </c>
      <c r="AC749" s="9">
        <v>0</v>
      </c>
      <c r="AD749" s="25">
        <v>0</v>
      </c>
      <c r="AE749" s="9">
        <f>SUM(S749:AD749)</f>
        <v>0</v>
      </c>
    </row>
    <row r="750" spans="1:31" x14ac:dyDescent="0.2">
      <c r="C750" s="6" t="s">
        <v>6</v>
      </c>
      <c r="S750" s="20">
        <v>125</v>
      </c>
      <c r="AE750" s="9">
        <f>SUM(S750:AD750)</f>
        <v>125</v>
      </c>
    </row>
    <row r="751" spans="1:31" ht="13.5" thickBot="1" x14ac:dyDescent="0.25">
      <c r="C751" s="6" t="s">
        <v>7</v>
      </c>
      <c r="S751" s="9">
        <v>28500</v>
      </c>
      <c r="T751" s="9">
        <v>28500</v>
      </c>
      <c r="U751" s="9">
        <v>28500</v>
      </c>
      <c r="V751" s="9">
        <v>28500</v>
      </c>
      <c r="W751" s="9">
        <v>28500</v>
      </c>
      <c r="X751" s="9">
        <v>28500</v>
      </c>
      <c r="Y751" s="9">
        <v>28500</v>
      </c>
      <c r="Z751" s="9">
        <v>28500</v>
      </c>
      <c r="AA751" s="9">
        <v>28500</v>
      </c>
      <c r="AB751" s="9">
        <v>28500</v>
      </c>
      <c r="AC751" s="9">
        <v>28500</v>
      </c>
      <c r="AD751" s="25">
        <v>28500</v>
      </c>
      <c r="AE751" s="9">
        <f>SUM(S751:AD751)</f>
        <v>342000</v>
      </c>
    </row>
    <row r="752" spans="1:31" ht="13.5" thickBot="1" x14ac:dyDescent="0.25">
      <c r="C752" s="10" t="s">
        <v>236</v>
      </c>
      <c r="S752" s="11">
        <f t="shared" ref="S752:AD752" si="181">SUM(S749:S751)</f>
        <v>28625</v>
      </c>
      <c r="T752" s="11">
        <f t="shared" si="181"/>
        <v>28500</v>
      </c>
      <c r="U752" s="11">
        <f t="shared" si="181"/>
        <v>28500</v>
      </c>
      <c r="V752" s="11">
        <f t="shared" si="181"/>
        <v>28500</v>
      </c>
      <c r="W752" s="11">
        <f t="shared" si="181"/>
        <v>28500</v>
      </c>
      <c r="X752" s="11">
        <f t="shared" si="181"/>
        <v>28500</v>
      </c>
      <c r="Y752" s="11">
        <f t="shared" si="181"/>
        <v>28500</v>
      </c>
      <c r="Z752" s="11">
        <f t="shared" si="181"/>
        <v>28500</v>
      </c>
      <c r="AA752" s="11">
        <f t="shared" si="181"/>
        <v>28500</v>
      </c>
      <c r="AB752" s="11">
        <f t="shared" si="181"/>
        <v>28500</v>
      </c>
      <c r="AC752" s="11">
        <f t="shared" si="181"/>
        <v>28500</v>
      </c>
      <c r="AD752" s="38">
        <f t="shared" si="181"/>
        <v>28500</v>
      </c>
      <c r="AE752" s="11">
        <f>SUM(AE749:AE751)</f>
        <v>342125</v>
      </c>
    </row>
    <row r="753" spans="1:31" x14ac:dyDescent="0.2">
      <c r="C753" s="12"/>
    </row>
    <row r="754" spans="1:31" ht="15.75" x14ac:dyDescent="0.25">
      <c r="A754" s="15">
        <f>+A748+1</f>
        <v>95</v>
      </c>
      <c r="B754" s="1" t="s">
        <v>139</v>
      </c>
      <c r="C754" s="19" t="s">
        <v>238</v>
      </c>
    </row>
    <row r="755" spans="1:31" x14ac:dyDescent="0.2">
      <c r="C755" s="6" t="s">
        <v>5</v>
      </c>
      <c r="S755" s="9">
        <v>0</v>
      </c>
      <c r="T755" s="9">
        <v>0</v>
      </c>
      <c r="U755" s="9">
        <v>0</v>
      </c>
      <c r="V755" s="9">
        <v>0</v>
      </c>
      <c r="W755" s="9">
        <v>0</v>
      </c>
      <c r="X755" s="9">
        <v>0</v>
      </c>
      <c r="Y755" s="9">
        <v>0</v>
      </c>
      <c r="Z755" s="9">
        <v>0</v>
      </c>
      <c r="AA755" s="9">
        <v>0</v>
      </c>
      <c r="AB755" s="9">
        <v>0</v>
      </c>
      <c r="AC755" s="9">
        <v>0</v>
      </c>
      <c r="AD755" s="25">
        <v>0</v>
      </c>
      <c r="AE755" s="9">
        <f>SUM(S755:AD755)</f>
        <v>0</v>
      </c>
    </row>
    <row r="756" spans="1:31" x14ac:dyDescent="0.2">
      <c r="C756" s="6" t="s">
        <v>6</v>
      </c>
      <c r="S756" s="20">
        <v>125</v>
      </c>
      <c r="AE756" s="9">
        <f>SUM(S756:AD756)</f>
        <v>125</v>
      </c>
    </row>
    <row r="757" spans="1:31" ht="13.5" thickBot="1" x14ac:dyDescent="0.25">
      <c r="C757" s="6" t="s">
        <v>7</v>
      </c>
      <c r="S757" s="9">
        <v>19992.71</v>
      </c>
      <c r="T757" s="9">
        <v>19992.71</v>
      </c>
      <c r="U757" s="9">
        <v>19992.71</v>
      </c>
      <c r="V757" s="9">
        <v>19992.71</v>
      </c>
      <c r="W757" s="9">
        <v>19992.71</v>
      </c>
      <c r="X757" s="9">
        <v>19992.7</v>
      </c>
      <c r="Y757" s="9">
        <v>19992.71</v>
      </c>
      <c r="Z757" s="9">
        <v>19992.71</v>
      </c>
      <c r="AA757" s="9">
        <v>19992.71</v>
      </c>
      <c r="AB757" s="9">
        <v>19992.71</v>
      </c>
      <c r="AC757" s="9">
        <v>19992.71</v>
      </c>
      <c r="AD757" s="25">
        <v>19992.7</v>
      </c>
      <c r="AE757" s="9">
        <f>SUM(S757:AD757)</f>
        <v>239912.49999999997</v>
      </c>
    </row>
    <row r="758" spans="1:31" ht="13.5" thickBot="1" x14ac:dyDescent="0.25">
      <c r="C758" s="10" t="s">
        <v>239</v>
      </c>
      <c r="S758" s="11">
        <f t="shared" ref="S758:AD758" si="182">SUM(S755:S757)</f>
        <v>20117.71</v>
      </c>
      <c r="T758" s="11">
        <f t="shared" si="182"/>
        <v>19992.71</v>
      </c>
      <c r="U758" s="11">
        <f t="shared" si="182"/>
        <v>19992.71</v>
      </c>
      <c r="V758" s="11">
        <f t="shared" si="182"/>
        <v>19992.71</v>
      </c>
      <c r="W758" s="11">
        <f t="shared" si="182"/>
        <v>19992.71</v>
      </c>
      <c r="X758" s="11">
        <f t="shared" si="182"/>
        <v>19992.7</v>
      </c>
      <c r="Y758" s="11">
        <f t="shared" si="182"/>
        <v>19992.71</v>
      </c>
      <c r="Z758" s="11">
        <f t="shared" si="182"/>
        <v>19992.71</v>
      </c>
      <c r="AA758" s="11">
        <f t="shared" si="182"/>
        <v>19992.71</v>
      </c>
      <c r="AB758" s="11">
        <f t="shared" si="182"/>
        <v>19992.71</v>
      </c>
      <c r="AC758" s="11">
        <f t="shared" si="182"/>
        <v>19992.71</v>
      </c>
      <c r="AD758" s="38">
        <f t="shared" si="182"/>
        <v>19992.7</v>
      </c>
      <c r="AE758" s="11">
        <f>SUM(AE755:AE757)</f>
        <v>240037.49999999997</v>
      </c>
    </row>
    <row r="759" spans="1:31" x14ac:dyDescent="0.2">
      <c r="C759" s="12"/>
    </row>
    <row r="760" spans="1:31" ht="15.75" x14ac:dyDescent="0.25">
      <c r="A760" s="15">
        <f>A754</f>
        <v>95</v>
      </c>
      <c r="B760" s="1" t="s">
        <v>142</v>
      </c>
      <c r="C760" s="19" t="s">
        <v>240</v>
      </c>
    </row>
    <row r="761" spans="1:31" x14ac:dyDescent="0.2">
      <c r="C761" s="6" t="s">
        <v>5</v>
      </c>
      <c r="S761" s="9">
        <v>0</v>
      </c>
      <c r="T761" s="9">
        <v>0</v>
      </c>
      <c r="U761" s="9">
        <v>0</v>
      </c>
      <c r="V761" s="9">
        <v>0</v>
      </c>
      <c r="W761" s="9">
        <v>0</v>
      </c>
      <c r="X761" s="9">
        <v>0</v>
      </c>
      <c r="Y761" s="9">
        <v>0</v>
      </c>
      <c r="Z761" s="9">
        <v>0</v>
      </c>
      <c r="AA761" s="9">
        <v>0</v>
      </c>
      <c r="AB761" s="9">
        <v>0</v>
      </c>
      <c r="AC761" s="9">
        <v>0</v>
      </c>
      <c r="AD761" s="25">
        <v>0</v>
      </c>
      <c r="AE761" s="9">
        <f>SUM(S761:AD761)</f>
        <v>0</v>
      </c>
    </row>
    <row r="762" spans="1:31" x14ac:dyDescent="0.2">
      <c r="C762" s="6" t="s">
        <v>6</v>
      </c>
      <c r="S762" s="20">
        <v>125</v>
      </c>
      <c r="AE762" s="9">
        <f>SUM(S762:AD762)</f>
        <v>125</v>
      </c>
    </row>
    <row r="763" spans="1:31" ht="13.5" thickBot="1" x14ac:dyDescent="0.25">
      <c r="C763" s="6" t="s">
        <v>7</v>
      </c>
      <c r="S763" s="9">
        <v>3987.5</v>
      </c>
      <c r="T763" s="9">
        <v>3987.5</v>
      </c>
      <c r="U763" s="9">
        <v>3987.5</v>
      </c>
      <c r="V763" s="9">
        <v>3987.5</v>
      </c>
      <c r="W763" s="9">
        <v>3987.5</v>
      </c>
      <c r="X763" s="9">
        <v>3987.5</v>
      </c>
      <c r="Y763" s="9">
        <v>3987.5</v>
      </c>
      <c r="Z763" s="9">
        <v>3987.5</v>
      </c>
      <c r="AA763" s="9">
        <v>3987.5</v>
      </c>
      <c r="AB763" s="9">
        <v>3987.5</v>
      </c>
      <c r="AC763" s="9">
        <v>3987.5</v>
      </c>
      <c r="AD763" s="25">
        <v>3987.5</v>
      </c>
      <c r="AE763" s="9">
        <f>SUM(S763:AD763)</f>
        <v>47850</v>
      </c>
    </row>
    <row r="764" spans="1:31" ht="13.5" thickBot="1" x14ac:dyDescent="0.25">
      <c r="C764" s="10" t="s">
        <v>239</v>
      </c>
      <c r="S764" s="11">
        <f t="shared" ref="S764:AD764" si="183">SUM(S761:S763)</f>
        <v>4112.5</v>
      </c>
      <c r="T764" s="11">
        <f t="shared" si="183"/>
        <v>3987.5</v>
      </c>
      <c r="U764" s="11">
        <f t="shared" si="183"/>
        <v>3987.5</v>
      </c>
      <c r="V764" s="11">
        <f t="shared" si="183"/>
        <v>3987.5</v>
      </c>
      <c r="W764" s="11">
        <f t="shared" si="183"/>
        <v>3987.5</v>
      </c>
      <c r="X764" s="11">
        <f t="shared" si="183"/>
        <v>3987.5</v>
      </c>
      <c r="Y764" s="11">
        <f t="shared" si="183"/>
        <v>3987.5</v>
      </c>
      <c r="Z764" s="11">
        <f t="shared" si="183"/>
        <v>3987.5</v>
      </c>
      <c r="AA764" s="11">
        <f t="shared" si="183"/>
        <v>3987.5</v>
      </c>
      <c r="AB764" s="11">
        <f t="shared" si="183"/>
        <v>3987.5</v>
      </c>
      <c r="AC764" s="11">
        <f t="shared" si="183"/>
        <v>3987.5</v>
      </c>
      <c r="AD764" s="38">
        <f t="shared" si="183"/>
        <v>3987.5</v>
      </c>
      <c r="AE764" s="11">
        <f>SUM(AE761:AE763)</f>
        <v>47975</v>
      </c>
    </row>
    <row r="765" spans="1:31" x14ac:dyDescent="0.2">
      <c r="C765" s="12"/>
    </row>
    <row r="766" spans="1:31" ht="15.75" x14ac:dyDescent="0.25">
      <c r="A766" s="15">
        <f>+A760+1</f>
        <v>96</v>
      </c>
      <c r="C766" s="19" t="s">
        <v>241</v>
      </c>
    </row>
    <row r="767" spans="1:31" x14ac:dyDescent="0.2">
      <c r="C767" s="6" t="s">
        <v>5</v>
      </c>
      <c r="S767" s="9">
        <v>0</v>
      </c>
      <c r="T767" s="9">
        <v>0</v>
      </c>
      <c r="U767" s="9">
        <v>0</v>
      </c>
      <c r="V767" s="9">
        <v>0</v>
      </c>
      <c r="W767" s="9">
        <v>0</v>
      </c>
      <c r="X767" s="9">
        <v>0</v>
      </c>
      <c r="Y767" s="9">
        <v>0</v>
      </c>
      <c r="Z767" s="9">
        <v>0</v>
      </c>
      <c r="AA767" s="9">
        <v>0</v>
      </c>
      <c r="AB767" s="9">
        <v>0</v>
      </c>
      <c r="AC767" s="9">
        <v>0</v>
      </c>
      <c r="AD767" s="25">
        <v>0</v>
      </c>
      <c r="AE767" s="9">
        <f>SUM(S767:AD767)</f>
        <v>0</v>
      </c>
    </row>
    <row r="768" spans="1:31" x14ac:dyDescent="0.2">
      <c r="C768" s="6" t="s">
        <v>6</v>
      </c>
      <c r="S768" s="20">
        <v>250</v>
      </c>
      <c r="AE768" s="9">
        <f>SUM(S768:AD768)</f>
        <v>250</v>
      </c>
    </row>
    <row r="769" spans="1:31" ht="13.5" thickBot="1" x14ac:dyDescent="0.25">
      <c r="C769" s="6" t="s">
        <v>7</v>
      </c>
      <c r="S769" s="20">
        <f>23750+77883.33</f>
        <v>101633.33</v>
      </c>
      <c r="T769" s="20">
        <f t="shared" ref="T769:AC769" si="184">23750+77883.33</f>
        <v>101633.33</v>
      </c>
      <c r="U769" s="20">
        <f t="shared" si="184"/>
        <v>101633.33</v>
      </c>
      <c r="V769" s="20">
        <f t="shared" si="184"/>
        <v>101633.33</v>
      </c>
      <c r="W769" s="20">
        <f t="shared" si="184"/>
        <v>101633.33</v>
      </c>
      <c r="X769" s="20">
        <f>23750+77883.35</f>
        <v>101633.35</v>
      </c>
      <c r="Y769" s="20">
        <f t="shared" si="184"/>
        <v>101633.33</v>
      </c>
      <c r="Z769" s="20">
        <f t="shared" si="184"/>
        <v>101633.33</v>
      </c>
      <c r="AA769" s="20">
        <f t="shared" si="184"/>
        <v>101633.33</v>
      </c>
      <c r="AB769" s="20">
        <f t="shared" si="184"/>
        <v>101633.33</v>
      </c>
      <c r="AC769" s="20">
        <f t="shared" si="184"/>
        <v>101633.33</v>
      </c>
      <c r="AD769" s="37">
        <f>23750+77883.35</f>
        <v>101633.35</v>
      </c>
      <c r="AE769" s="9">
        <f>SUM(S769:AD769)</f>
        <v>1219600</v>
      </c>
    </row>
    <row r="770" spans="1:31" ht="13.5" thickBot="1" x14ac:dyDescent="0.25">
      <c r="C770" s="10" t="s">
        <v>242</v>
      </c>
      <c r="S770" s="11">
        <f t="shared" ref="S770:AD770" si="185">SUM(S767:S769)</f>
        <v>101883.33</v>
      </c>
      <c r="T770" s="11">
        <f t="shared" si="185"/>
        <v>101633.33</v>
      </c>
      <c r="U770" s="11">
        <f t="shared" si="185"/>
        <v>101633.33</v>
      </c>
      <c r="V770" s="11">
        <f t="shared" si="185"/>
        <v>101633.33</v>
      </c>
      <c r="W770" s="11">
        <f t="shared" si="185"/>
        <v>101633.33</v>
      </c>
      <c r="X770" s="11">
        <f t="shared" si="185"/>
        <v>101633.35</v>
      </c>
      <c r="Y770" s="11">
        <f t="shared" si="185"/>
        <v>101633.33</v>
      </c>
      <c r="Z770" s="11">
        <f t="shared" si="185"/>
        <v>101633.33</v>
      </c>
      <c r="AA770" s="11">
        <f t="shared" si="185"/>
        <v>101633.33</v>
      </c>
      <c r="AB770" s="11">
        <f t="shared" si="185"/>
        <v>101633.33</v>
      </c>
      <c r="AC770" s="11">
        <f t="shared" si="185"/>
        <v>101633.33</v>
      </c>
      <c r="AD770" s="38">
        <f t="shared" si="185"/>
        <v>101633.35</v>
      </c>
      <c r="AE770" s="11">
        <f>SUM(AE767:AE769)</f>
        <v>1219850</v>
      </c>
    </row>
    <row r="771" spans="1:31" x14ac:dyDescent="0.2">
      <c r="C771" s="12"/>
    </row>
    <row r="772" spans="1:31" ht="15.75" x14ac:dyDescent="0.25">
      <c r="A772" s="15">
        <f>+A766+1</f>
        <v>97</v>
      </c>
      <c r="C772" s="19" t="s">
        <v>243</v>
      </c>
    </row>
    <row r="773" spans="1:31" x14ac:dyDescent="0.2">
      <c r="C773" s="6" t="s">
        <v>5</v>
      </c>
      <c r="S773" s="9">
        <v>0</v>
      </c>
      <c r="T773" s="9">
        <v>0</v>
      </c>
      <c r="U773" s="9">
        <v>0</v>
      </c>
      <c r="V773" s="9">
        <v>0</v>
      </c>
      <c r="W773" s="9">
        <v>0</v>
      </c>
      <c r="X773" s="9">
        <v>0</v>
      </c>
      <c r="Y773" s="9">
        <v>0</v>
      </c>
      <c r="Z773" s="9">
        <v>0</v>
      </c>
      <c r="AA773" s="9">
        <v>0</v>
      </c>
      <c r="AB773" s="9">
        <v>0</v>
      </c>
      <c r="AC773" s="9">
        <v>0</v>
      </c>
      <c r="AD773" s="25">
        <v>0</v>
      </c>
      <c r="AE773" s="9">
        <f>SUM(S773:AD773)</f>
        <v>0</v>
      </c>
    </row>
    <row r="774" spans="1:31" x14ac:dyDescent="0.2">
      <c r="C774" s="6" t="s">
        <v>6</v>
      </c>
      <c r="S774" s="20">
        <v>250</v>
      </c>
      <c r="AE774" s="9">
        <f>SUM(S774:AD774)</f>
        <v>250</v>
      </c>
    </row>
    <row r="775" spans="1:31" ht="13.5" thickBot="1" x14ac:dyDescent="0.25">
      <c r="C775" s="6" t="s">
        <v>7</v>
      </c>
      <c r="S775" s="9">
        <v>38450</v>
      </c>
      <c r="T775" s="9">
        <v>38450</v>
      </c>
      <c r="U775" s="9">
        <v>38450</v>
      </c>
      <c r="V775" s="9">
        <v>38450</v>
      </c>
      <c r="W775" s="9">
        <v>38450</v>
      </c>
      <c r="X775" s="9">
        <v>38450</v>
      </c>
      <c r="Y775" s="9">
        <f t="shared" ref="Y775:AD775" si="186">10416.67+38450</f>
        <v>48866.67</v>
      </c>
      <c r="Z775" s="9">
        <f t="shared" si="186"/>
        <v>48866.67</v>
      </c>
      <c r="AA775" s="9">
        <f t="shared" si="186"/>
        <v>48866.67</v>
      </c>
      <c r="AB775" s="9">
        <f t="shared" si="186"/>
        <v>48866.67</v>
      </c>
      <c r="AC775" s="9">
        <f t="shared" si="186"/>
        <v>48866.67</v>
      </c>
      <c r="AD775" s="25">
        <f t="shared" si="186"/>
        <v>48866.67</v>
      </c>
      <c r="AE775" s="9">
        <f>SUM(S775:AD775)</f>
        <v>523900.0199999999</v>
      </c>
    </row>
    <row r="776" spans="1:31" ht="13.5" thickBot="1" x14ac:dyDescent="0.25">
      <c r="C776" s="10" t="s">
        <v>176</v>
      </c>
      <c r="S776" s="11">
        <f t="shared" ref="S776:AD776" si="187">SUM(S773:S775)</f>
        <v>38700</v>
      </c>
      <c r="T776" s="11">
        <f t="shared" si="187"/>
        <v>38450</v>
      </c>
      <c r="U776" s="11">
        <f t="shared" si="187"/>
        <v>38450</v>
      </c>
      <c r="V776" s="11">
        <f t="shared" si="187"/>
        <v>38450</v>
      </c>
      <c r="W776" s="11">
        <f t="shared" si="187"/>
        <v>38450</v>
      </c>
      <c r="X776" s="11">
        <f t="shared" si="187"/>
        <v>38450</v>
      </c>
      <c r="Y776" s="11">
        <f t="shared" si="187"/>
        <v>48866.67</v>
      </c>
      <c r="Z776" s="11">
        <f t="shared" si="187"/>
        <v>48866.67</v>
      </c>
      <c r="AA776" s="11">
        <f t="shared" si="187"/>
        <v>48866.67</v>
      </c>
      <c r="AB776" s="11">
        <f t="shared" si="187"/>
        <v>48866.67</v>
      </c>
      <c r="AC776" s="11">
        <f t="shared" si="187"/>
        <v>48866.67</v>
      </c>
      <c r="AD776" s="38">
        <f t="shared" si="187"/>
        <v>48866.67</v>
      </c>
      <c r="AE776" s="11">
        <f>SUM(AE773:AE775)</f>
        <v>524150.0199999999</v>
      </c>
    </row>
    <row r="777" spans="1:31" x14ac:dyDescent="0.2">
      <c r="C777" s="12"/>
    </row>
    <row r="778" spans="1:31" ht="15.75" x14ac:dyDescent="0.25">
      <c r="A778" s="15">
        <f>+A772+1</f>
        <v>98</v>
      </c>
      <c r="C778" s="19" t="s">
        <v>244</v>
      </c>
    </row>
    <row r="779" spans="1:31" x14ac:dyDescent="0.2">
      <c r="C779" s="6" t="s">
        <v>5</v>
      </c>
      <c r="S779" s="9">
        <v>820.91</v>
      </c>
      <c r="T779" s="9">
        <v>820.91</v>
      </c>
      <c r="U779" s="9">
        <v>820.91</v>
      </c>
      <c r="V779" s="9">
        <v>820.91</v>
      </c>
      <c r="W779" s="9">
        <v>820.91</v>
      </c>
      <c r="X779" s="9">
        <v>820.91</v>
      </c>
      <c r="Y779" s="9">
        <v>752.5</v>
      </c>
      <c r="Z779" s="9">
        <v>752.5</v>
      </c>
      <c r="AA779" s="9">
        <v>752.5</v>
      </c>
      <c r="AB779" s="9">
        <v>752.5</v>
      </c>
      <c r="AC779" s="9">
        <v>752.5</v>
      </c>
      <c r="AD779" s="25">
        <v>752.5</v>
      </c>
      <c r="AE779" s="9">
        <f>SUM(S779:AD779)</f>
        <v>9440.4599999999991</v>
      </c>
    </row>
    <row r="780" spans="1:31" x14ac:dyDescent="0.2">
      <c r="C780" s="6" t="s">
        <v>6</v>
      </c>
      <c r="S780" s="20">
        <v>250</v>
      </c>
      <c r="AE780" s="9">
        <f>SUM(S780:AD780)</f>
        <v>250</v>
      </c>
    </row>
    <row r="781" spans="1:31" ht="13.5" thickBot="1" x14ac:dyDescent="0.25">
      <c r="C781" s="6" t="s">
        <v>7</v>
      </c>
      <c r="S781" s="20">
        <f>11250+29808.33</f>
        <v>41058.33</v>
      </c>
      <c r="T781" s="20">
        <f t="shared" ref="T781:AC781" si="188">11250+29808.33</f>
        <v>41058.33</v>
      </c>
      <c r="U781" s="20">
        <f t="shared" si="188"/>
        <v>41058.33</v>
      </c>
      <c r="V781" s="20">
        <f t="shared" si="188"/>
        <v>41058.33</v>
      </c>
      <c r="W781" s="20">
        <f t="shared" si="188"/>
        <v>41058.33</v>
      </c>
      <c r="X781" s="20">
        <f>11250+29808.35</f>
        <v>41058.35</v>
      </c>
      <c r="Y781" s="20">
        <f t="shared" si="188"/>
        <v>41058.33</v>
      </c>
      <c r="Z781" s="20">
        <f t="shared" si="188"/>
        <v>41058.33</v>
      </c>
      <c r="AA781" s="20">
        <f t="shared" si="188"/>
        <v>41058.33</v>
      </c>
      <c r="AB781" s="20">
        <f t="shared" si="188"/>
        <v>41058.33</v>
      </c>
      <c r="AC781" s="20">
        <f t="shared" si="188"/>
        <v>41058.33</v>
      </c>
      <c r="AD781" s="37">
        <f>11250+29808.35</f>
        <v>41058.35</v>
      </c>
      <c r="AE781" s="9">
        <f>SUM(S781:AD781)</f>
        <v>492700.00000000006</v>
      </c>
    </row>
    <row r="782" spans="1:31" ht="13.5" thickBot="1" x14ac:dyDescent="0.25">
      <c r="C782" s="10" t="s">
        <v>245</v>
      </c>
      <c r="S782" s="11">
        <f t="shared" ref="S782:AD782" si="189">SUM(S779:S781)</f>
        <v>42129.240000000005</v>
      </c>
      <c r="T782" s="11">
        <f t="shared" si="189"/>
        <v>41879.240000000005</v>
      </c>
      <c r="U782" s="11">
        <f t="shared" si="189"/>
        <v>41879.240000000005</v>
      </c>
      <c r="V782" s="11">
        <f t="shared" si="189"/>
        <v>41879.240000000005</v>
      </c>
      <c r="W782" s="11">
        <f t="shared" si="189"/>
        <v>41879.240000000005</v>
      </c>
      <c r="X782" s="11">
        <f t="shared" si="189"/>
        <v>41879.26</v>
      </c>
      <c r="Y782" s="11">
        <f t="shared" si="189"/>
        <v>41810.83</v>
      </c>
      <c r="Z782" s="11">
        <f t="shared" si="189"/>
        <v>41810.83</v>
      </c>
      <c r="AA782" s="11">
        <f t="shared" si="189"/>
        <v>41810.83</v>
      </c>
      <c r="AB782" s="11">
        <f t="shared" si="189"/>
        <v>41810.83</v>
      </c>
      <c r="AC782" s="11">
        <f t="shared" si="189"/>
        <v>41810.83</v>
      </c>
      <c r="AD782" s="38">
        <f t="shared" si="189"/>
        <v>41810.85</v>
      </c>
      <c r="AE782" s="11">
        <f>SUM(AE779:AE781)</f>
        <v>502390.46000000008</v>
      </c>
    </row>
    <row r="783" spans="1:31" x14ac:dyDescent="0.2">
      <c r="C783" s="12"/>
    </row>
    <row r="784" spans="1:31" ht="15.75" x14ac:dyDescent="0.25">
      <c r="A784" s="15">
        <f>+A778+1</f>
        <v>99</v>
      </c>
      <c r="C784" s="19" t="s">
        <v>246</v>
      </c>
    </row>
    <row r="785" spans="1:31" x14ac:dyDescent="0.2">
      <c r="C785" s="6" t="s">
        <v>5</v>
      </c>
      <c r="S785" s="9">
        <v>2980.91</v>
      </c>
      <c r="T785" s="9">
        <v>2980.91</v>
      </c>
      <c r="U785" s="9">
        <v>2980.91</v>
      </c>
      <c r="V785" s="9">
        <v>2980.91</v>
      </c>
      <c r="W785" s="9">
        <v>2980.91</v>
      </c>
      <c r="X785" s="9">
        <v>2980.91</v>
      </c>
      <c r="Y785" s="9">
        <v>2980.91</v>
      </c>
      <c r="Z785" s="9">
        <v>2732.5</v>
      </c>
      <c r="AA785" s="9">
        <v>2732.5</v>
      </c>
      <c r="AB785" s="9">
        <v>2732.5</v>
      </c>
      <c r="AC785" s="9">
        <v>2732.5</v>
      </c>
      <c r="AD785" s="25">
        <v>2732.5</v>
      </c>
      <c r="AE785" s="9">
        <f>SUM(S785:AD785)</f>
        <v>34528.869999999995</v>
      </c>
    </row>
    <row r="786" spans="1:31" x14ac:dyDescent="0.2">
      <c r="C786" s="6" t="s">
        <v>6</v>
      </c>
      <c r="S786" s="20">
        <v>250</v>
      </c>
      <c r="AE786" s="9">
        <f>SUM(S786:AD786)</f>
        <v>250</v>
      </c>
    </row>
    <row r="787" spans="1:31" ht="13.5" thickBot="1" x14ac:dyDescent="0.25">
      <c r="C787" s="6" t="s">
        <v>7</v>
      </c>
      <c r="S787" s="9">
        <v>71253.33</v>
      </c>
      <c r="T787" s="9">
        <v>71253.33</v>
      </c>
      <c r="U787" s="9">
        <v>71253.33</v>
      </c>
      <c r="V787" s="9">
        <v>71253.33</v>
      </c>
      <c r="W787" s="9">
        <v>71253.350000000006</v>
      </c>
      <c r="X787" s="9">
        <v>94481.67</v>
      </c>
      <c r="Y787" s="9">
        <v>94481.67</v>
      </c>
      <c r="Z787" s="9">
        <v>94481.67</v>
      </c>
      <c r="AA787" s="9">
        <v>94481.67</v>
      </c>
      <c r="AB787" s="9">
        <v>94481.67</v>
      </c>
      <c r="AC787" s="9">
        <v>94481.65</v>
      </c>
      <c r="AD787" s="37">
        <f>42083.33+108358.33</f>
        <v>150441.66</v>
      </c>
      <c r="AE787" s="9">
        <f>SUM(S787:AD787)</f>
        <v>1073598.33</v>
      </c>
    </row>
    <row r="788" spans="1:31" ht="13.5" thickBot="1" x14ac:dyDescent="0.25">
      <c r="C788" s="10" t="s">
        <v>111</v>
      </c>
      <c r="S788" s="11">
        <f t="shared" ref="S788:AD788" si="190">SUM(S785:S787)</f>
        <v>74484.240000000005</v>
      </c>
      <c r="T788" s="11">
        <f t="shared" si="190"/>
        <v>74234.240000000005</v>
      </c>
      <c r="U788" s="11">
        <f t="shared" si="190"/>
        <v>74234.240000000005</v>
      </c>
      <c r="V788" s="11">
        <f t="shared" si="190"/>
        <v>74234.240000000005</v>
      </c>
      <c r="W788" s="11">
        <f t="shared" si="190"/>
        <v>74234.260000000009</v>
      </c>
      <c r="X788" s="11">
        <f t="shared" si="190"/>
        <v>97462.58</v>
      </c>
      <c r="Y788" s="11">
        <f t="shared" si="190"/>
        <v>97462.58</v>
      </c>
      <c r="Z788" s="11">
        <f t="shared" si="190"/>
        <v>97214.17</v>
      </c>
      <c r="AA788" s="11">
        <f t="shared" si="190"/>
        <v>97214.17</v>
      </c>
      <c r="AB788" s="11">
        <f t="shared" si="190"/>
        <v>97214.17</v>
      </c>
      <c r="AC788" s="11">
        <f t="shared" si="190"/>
        <v>97214.15</v>
      </c>
      <c r="AD788" s="38">
        <f t="shared" si="190"/>
        <v>153174.16</v>
      </c>
      <c r="AE788" s="11">
        <f>SUM(AE785:AE787)</f>
        <v>1108377.2000000002</v>
      </c>
    </row>
    <row r="789" spans="1:31" x14ac:dyDescent="0.2">
      <c r="C789" s="12"/>
    </row>
    <row r="790" spans="1:31" ht="15.75" x14ac:dyDescent="0.25">
      <c r="A790" s="15">
        <f>+A784+1</f>
        <v>100</v>
      </c>
      <c r="C790" s="19" t="s">
        <v>247</v>
      </c>
    </row>
    <row r="791" spans="1:31" x14ac:dyDescent="0.2">
      <c r="C791" s="6" t="s">
        <v>5</v>
      </c>
      <c r="S791" s="9">
        <v>0</v>
      </c>
      <c r="T791" s="9">
        <v>0</v>
      </c>
      <c r="U791" s="9">
        <v>0</v>
      </c>
      <c r="V791" s="9">
        <v>0</v>
      </c>
      <c r="W791" s="9">
        <v>0</v>
      </c>
      <c r="X791" s="9">
        <v>0</v>
      </c>
      <c r="Y791" s="9">
        <v>0</v>
      </c>
      <c r="Z791" s="9">
        <v>0</v>
      </c>
      <c r="AA791" s="9">
        <v>0</v>
      </c>
      <c r="AB791" s="9">
        <v>0</v>
      </c>
      <c r="AC791" s="9">
        <v>0</v>
      </c>
      <c r="AD791" s="25">
        <v>0</v>
      </c>
      <c r="AE791" s="9">
        <f>SUM(S791:AD791)</f>
        <v>0</v>
      </c>
    </row>
    <row r="792" spans="1:31" x14ac:dyDescent="0.2">
      <c r="C792" s="6" t="s">
        <v>6</v>
      </c>
      <c r="S792" s="20">
        <v>250</v>
      </c>
      <c r="AE792" s="9">
        <f>SUM(S792:AD792)</f>
        <v>250</v>
      </c>
    </row>
    <row r="793" spans="1:31" ht="13.5" thickBot="1" x14ac:dyDescent="0.25">
      <c r="C793" s="6" t="s">
        <v>7</v>
      </c>
      <c r="S793" s="9">
        <v>0</v>
      </c>
      <c r="T793" s="9">
        <v>0</v>
      </c>
      <c r="U793" s="9">
        <v>0</v>
      </c>
      <c r="V793" s="9">
        <v>0</v>
      </c>
      <c r="W793" s="9">
        <v>0</v>
      </c>
      <c r="X793" s="9">
        <v>0</v>
      </c>
      <c r="Y793" s="9">
        <v>727.68</v>
      </c>
      <c r="Z793" s="9">
        <v>727.68</v>
      </c>
      <c r="AA793" s="9">
        <v>727.68</v>
      </c>
      <c r="AB793" s="9">
        <v>727.68</v>
      </c>
      <c r="AC793" s="9">
        <v>727.7</v>
      </c>
      <c r="AD793" s="25">
        <v>727.7</v>
      </c>
      <c r="AE793" s="9">
        <f>SUM(S793:AD793)</f>
        <v>4366.12</v>
      </c>
    </row>
    <row r="794" spans="1:31" ht="13.5" thickBot="1" x14ac:dyDescent="0.25">
      <c r="C794" s="10" t="s">
        <v>248</v>
      </c>
      <c r="S794" s="11">
        <f t="shared" ref="S794:AD794" si="191">SUM(S791:S793)</f>
        <v>250</v>
      </c>
      <c r="T794" s="11">
        <f t="shared" si="191"/>
        <v>0</v>
      </c>
      <c r="U794" s="11">
        <f t="shared" si="191"/>
        <v>0</v>
      </c>
      <c r="V794" s="11">
        <f t="shared" si="191"/>
        <v>0</v>
      </c>
      <c r="W794" s="11">
        <f t="shared" si="191"/>
        <v>0</v>
      </c>
      <c r="X794" s="11">
        <f t="shared" si="191"/>
        <v>0</v>
      </c>
      <c r="Y794" s="11">
        <f t="shared" si="191"/>
        <v>727.68</v>
      </c>
      <c r="Z794" s="11">
        <f t="shared" si="191"/>
        <v>727.68</v>
      </c>
      <c r="AA794" s="11">
        <f t="shared" si="191"/>
        <v>727.68</v>
      </c>
      <c r="AB794" s="11">
        <f t="shared" si="191"/>
        <v>727.68</v>
      </c>
      <c r="AC794" s="11">
        <f t="shared" si="191"/>
        <v>727.7</v>
      </c>
      <c r="AD794" s="38">
        <f t="shared" si="191"/>
        <v>727.7</v>
      </c>
      <c r="AE794" s="11">
        <f>SUM(AE791:AE793)</f>
        <v>4616.12</v>
      </c>
    </row>
    <row r="795" spans="1:31" x14ac:dyDescent="0.2">
      <c r="C795" s="12"/>
    </row>
    <row r="796" spans="1:31" ht="15.75" x14ac:dyDescent="0.25">
      <c r="A796" s="15">
        <f>+A790+1</f>
        <v>101</v>
      </c>
      <c r="C796" s="19" t="s">
        <v>249</v>
      </c>
    </row>
    <row r="797" spans="1:31" x14ac:dyDescent="0.2">
      <c r="C797" s="6" t="s">
        <v>5</v>
      </c>
      <c r="S797" s="9">
        <v>0</v>
      </c>
      <c r="T797" s="9">
        <v>0</v>
      </c>
      <c r="U797" s="9">
        <v>0</v>
      </c>
      <c r="V797" s="9">
        <v>0</v>
      </c>
      <c r="W797" s="9">
        <v>0</v>
      </c>
      <c r="X797" s="9">
        <v>0</v>
      </c>
      <c r="Y797" s="9">
        <v>0</v>
      </c>
      <c r="Z797" s="9">
        <v>0</v>
      </c>
      <c r="AA797" s="9">
        <v>0</v>
      </c>
      <c r="AB797" s="9">
        <v>0</v>
      </c>
      <c r="AC797" s="9">
        <v>0</v>
      </c>
      <c r="AD797" s="25">
        <v>0</v>
      </c>
      <c r="AE797" s="9">
        <f>SUM(S797:AD797)</f>
        <v>0</v>
      </c>
    </row>
    <row r="798" spans="1:31" x14ac:dyDescent="0.2">
      <c r="C798" s="6" t="s">
        <v>6</v>
      </c>
      <c r="S798" s="20">
        <v>250</v>
      </c>
      <c r="AE798" s="9">
        <f>SUM(S798:AD798)</f>
        <v>250</v>
      </c>
    </row>
    <row r="799" spans="1:31" ht="13.5" thickBot="1" x14ac:dyDescent="0.25">
      <c r="C799" s="6" t="s">
        <v>7</v>
      </c>
      <c r="S799" s="20">
        <v>29262.400000000001</v>
      </c>
      <c r="T799" s="20">
        <v>29209.86</v>
      </c>
      <c r="U799" s="20">
        <v>28820.5</v>
      </c>
      <c r="V799" s="20">
        <v>29104.79</v>
      </c>
      <c r="W799" s="20">
        <v>28718.81</v>
      </c>
      <c r="X799" s="20">
        <v>28999.71</v>
      </c>
      <c r="Y799" s="20">
        <v>28947.17</v>
      </c>
      <c r="Z799" s="20">
        <v>27909.57</v>
      </c>
      <c r="AA799" s="20">
        <v>28842.09</v>
      </c>
      <c r="AB799" s="20">
        <v>28464.59</v>
      </c>
      <c r="AC799" s="20">
        <v>28737.01</v>
      </c>
      <c r="AD799" s="37">
        <v>28362.9</v>
      </c>
      <c r="AE799" s="9">
        <f>SUM(S799:AD799)</f>
        <v>345379.4</v>
      </c>
    </row>
    <row r="800" spans="1:31" ht="13.5" thickBot="1" x14ac:dyDescent="0.25">
      <c r="C800" s="10" t="s">
        <v>250</v>
      </c>
      <c r="S800" s="11">
        <f t="shared" ref="S800:AD800" si="192">SUM(S797:S799)</f>
        <v>29512.400000000001</v>
      </c>
      <c r="T800" s="11">
        <f t="shared" si="192"/>
        <v>29209.86</v>
      </c>
      <c r="U800" s="11">
        <f t="shared" si="192"/>
        <v>28820.5</v>
      </c>
      <c r="V800" s="11">
        <f t="shared" si="192"/>
        <v>29104.79</v>
      </c>
      <c r="W800" s="11">
        <f t="shared" si="192"/>
        <v>28718.81</v>
      </c>
      <c r="X800" s="11">
        <f t="shared" si="192"/>
        <v>28999.71</v>
      </c>
      <c r="Y800" s="11">
        <f t="shared" si="192"/>
        <v>28947.17</v>
      </c>
      <c r="Z800" s="11">
        <f t="shared" si="192"/>
        <v>27909.57</v>
      </c>
      <c r="AA800" s="11">
        <f t="shared" si="192"/>
        <v>28842.09</v>
      </c>
      <c r="AB800" s="11">
        <f t="shared" si="192"/>
        <v>28464.59</v>
      </c>
      <c r="AC800" s="11">
        <f t="shared" si="192"/>
        <v>28737.01</v>
      </c>
      <c r="AD800" s="38">
        <f t="shared" si="192"/>
        <v>28362.9</v>
      </c>
      <c r="AE800" s="11">
        <f>SUM(AE797:AE799)</f>
        <v>345629.4</v>
      </c>
    </row>
    <row r="801" spans="1:31" x14ac:dyDescent="0.2">
      <c r="C801" s="12"/>
    </row>
    <row r="802" spans="1:31" ht="15.75" x14ac:dyDescent="0.25">
      <c r="A802" s="15">
        <f>+A796+1</f>
        <v>102</v>
      </c>
      <c r="C802" s="19" t="s">
        <v>251</v>
      </c>
    </row>
    <row r="803" spans="1:31" x14ac:dyDescent="0.2">
      <c r="C803" s="6" t="s">
        <v>5</v>
      </c>
      <c r="S803" s="9">
        <v>0</v>
      </c>
      <c r="T803" s="9">
        <v>0</v>
      </c>
      <c r="U803" s="9">
        <v>0</v>
      </c>
      <c r="V803" s="9">
        <v>0</v>
      </c>
      <c r="W803" s="9">
        <v>0</v>
      </c>
      <c r="X803" s="9">
        <v>0</v>
      </c>
      <c r="Y803" s="9">
        <v>0</v>
      </c>
      <c r="Z803" s="9">
        <v>0</v>
      </c>
      <c r="AA803" s="9">
        <v>0</v>
      </c>
      <c r="AB803" s="9">
        <v>0</v>
      </c>
      <c r="AC803" s="9">
        <v>0</v>
      </c>
      <c r="AD803" s="25">
        <v>0</v>
      </c>
      <c r="AE803" s="9">
        <f>SUM(S803:AD803)</f>
        <v>0</v>
      </c>
    </row>
    <row r="804" spans="1:31" x14ac:dyDescent="0.2">
      <c r="C804" s="6" t="s">
        <v>6</v>
      </c>
      <c r="S804" s="20">
        <v>250</v>
      </c>
      <c r="AE804" s="9">
        <f>SUM(S804:AD804)</f>
        <v>250</v>
      </c>
    </row>
    <row r="805" spans="1:31" ht="13.5" thickBot="1" x14ac:dyDescent="0.25">
      <c r="C805" s="6" t="s">
        <v>7</v>
      </c>
      <c r="S805" s="9">
        <v>15102.03</v>
      </c>
      <c r="T805" s="9">
        <v>15102.03</v>
      </c>
      <c r="U805" s="9">
        <v>15102.03</v>
      </c>
      <c r="V805" s="9">
        <v>15102.03</v>
      </c>
      <c r="W805" s="9">
        <v>15102.04</v>
      </c>
      <c r="X805" s="9">
        <v>15102.03</v>
      </c>
      <c r="Y805" s="9">
        <v>31793.75</v>
      </c>
      <c r="Z805" s="9">
        <v>31793.75</v>
      </c>
      <c r="AA805" s="9">
        <v>31793.75</v>
      </c>
      <c r="AB805" s="9">
        <v>31793.75</v>
      </c>
      <c r="AC805" s="9">
        <v>31793.75</v>
      </c>
      <c r="AD805" s="25">
        <v>31793.75</v>
      </c>
      <c r="AE805" s="9">
        <f>SUM(S805:AD805)</f>
        <v>281374.69</v>
      </c>
    </row>
    <row r="806" spans="1:31" ht="13.5" thickBot="1" x14ac:dyDescent="0.25">
      <c r="C806" s="10" t="s">
        <v>252</v>
      </c>
      <c r="S806" s="11">
        <f t="shared" ref="S806:AD806" si="193">SUM(S803:S805)</f>
        <v>15352.03</v>
      </c>
      <c r="T806" s="11">
        <f t="shared" si="193"/>
        <v>15102.03</v>
      </c>
      <c r="U806" s="11">
        <f t="shared" si="193"/>
        <v>15102.03</v>
      </c>
      <c r="V806" s="11">
        <f t="shared" si="193"/>
        <v>15102.03</v>
      </c>
      <c r="W806" s="11">
        <f t="shared" si="193"/>
        <v>15102.04</v>
      </c>
      <c r="X806" s="11">
        <f t="shared" si="193"/>
        <v>15102.03</v>
      </c>
      <c r="Y806" s="11">
        <f t="shared" si="193"/>
        <v>31793.75</v>
      </c>
      <c r="Z806" s="11">
        <f t="shared" si="193"/>
        <v>31793.75</v>
      </c>
      <c r="AA806" s="11">
        <f t="shared" si="193"/>
        <v>31793.75</v>
      </c>
      <c r="AB806" s="11">
        <f t="shared" si="193"/>
        <v>31793.75</v>
      </c>
      <c r="AC806" s="11">
        <f t="shared" si="193"/>
        <v>31793.75</v>
      </c>
      <c r="AD806" s="38">
        <f t="shared" si="193"/>
        <v>31793.75</v>
      </c>
      <c r="AE806" s="11">
        <f>SUM(AE803:AE805)</f>
        <v>281624.69</v>
      </c>
    </row>
    <row r="807" spans="1:31" x14ac:dyDescent="0.2">
      <c r="C807" s="12"/>
    </row>
    <row r="808" spans="1:31" ht="15.75" x14ac:dyDescent="0.25">
      <c r="A808" s="15">
        <f>+A802+1</f>
        <v>103</v>
      </c>
      <c r="C808" s="19" t="s">
        <v>253</v>
      </c>
    </row>
    <row r="809" spans="1:31" x14ac:dyDescent="0.2">
      <c r="C809" s="6" t="s">
        <v>5</v>
      </c>
      <c r="S809" s="9">
        <v>0</v>
      </c>
      <c r="T809" s="9">
        <v>0</v>
      </c>
      <c r="U809" s="9">
        <v>0</v>
      </c>
      <c r="V809" s="9">
        <v>0</v>
      </c>
      <c r="W809" s="9">
        <v>0</v>
      </c>
      <c r="X809" s="9">
        <v>0</v>
      </c>
      <c r="Y809" s="9">
        <v>0</v>
      </c>
      <c r="Z809" s="9">
        <v>0</v>
      </c>
      <c r="AA809" s="9">
        <v>0</v>
      </c>
      <c r="AB809" s="9">
        <v>0</v>
      </c>
      <c r="AC809" s="9">
        <v>0</v>
      </c>
      <c r="AD809" s="25">
        <v>0</v>
      </c>
      <c r="AE809" s="9">
        <f>SUM(S809:AD809)</f>
        <v>0</v>
      </c>
    </row>
    <row r="810" spans="1:31" x14ac:dyDescent="0.2">
      <c r="C810" s="6" t="s">
        <v>6</v>
      </c>
      <c r="S810" s="20">
        <v>250</v>
      </c>
      <c r="AE810" s="9">
        <f>SUM(S810:AD810)</f>
        <v>250</v>
      </c>
    </row>
    <row r="811" spans="1:31" ht="13.5" thickBot="1" x14ac:dyDescent="0.25">
      <c r="C811" s="6" t="s">
        <v>7</v>
      </c>
      <c r="S811" s="9">
        <v>6675</v>
      </c>
      <c r="T811" s="9">
        <v>6675</v>
      </c>
      <c r="U811" s="9">
        <v>6675</v>
      </c>
      <c r="V811" s="9">
        <v>6675</v>
      </c>
      <c r="W811" s="9">
        <v>6675</v>
      </c>
      <c r="X811" s="9">
        <v>6675</v>
      </c>
      <c r="Y811" s="9">
        <v>31675</v>
      </c>
      <c r="Z811" s="9">
        <v>31675</v>
      </c>
      <c r="AA811" s="9">
        <v>31675</v>
      </c>
      <c r="AB811" s="9">
        <v>31675</v>
      </c>
      <c r="AC811" s="9">
        <v>31675</v>
      </c>
      <c r="AD811" s="25">
        <v>31675</v>
      </c>
      <c r="AE811" s="9">
        <f>SUM(S811:AD811)</f>
        <v>230100</v>
      </c>
    </row>
    <row r="812" spans="1:31" ht="13.5" thickBot="1" x14ac:dyDescent="0.25">
      <c r="C812" s="10" t="s">
        <v>254</v>
      </c>
      <c r="S812" s="11">
        <f t="shared" ref="S812:AD812" si="194">SUM(S809:S811)</f>
        <v>6925</v>
      </c>
      <c r="T812" s="11">
        <f t="shared" si="194"/>
        <v>6675</v>
      </c>
      <c r="U812" s="11">
        <f t="shared" si="194"/>
        <v>6675</v>
      </c>
      <c r="V812" s="11">
        <f t="shared" si="194"/>
        <v>6675</v>
      </c>
      <c r="W812" s="11">
        <f t="shared" si="194"/>
        <v>6675</v>
      </c>
      <c r="X812" s="11">
        <f t="shared" si="194"/>
        <v>6675</v>
      </c>
      <c r="Y812" s="11">
        <f t="shared" si="194"/>
        <v>31675</v>
      </c>
      <c r="Z812" s="11">
        <f t="shared" si="194"/>
        <v>31675</v>
      </c>
      <c r="AA812" s="11">
        <f t="shared" si="194"/>
        <v>31675</v>
      </c>
      <c r="AB812" s="11">
        <f t="shared" si="194"/>
        <v>31675</v>
      </c>
      <c r="AC812" s="11">
        <f t="shared" si="194"/>
        <v>31675</v>
      </c>
      <c r="AD812" s="38">
        <f t="shared" si="194"/>
        <v>31675</v>
      </c>
      <c r="AE812" s="11">
        <f>SUM(AE809:AE811)</f>
        <v>230350</v>
      </c>
    </row>
    <row r="813" spans="1:31" x14ac:dyDescent="0.2">
      <c r="C813" s="12"/>
    </row>
    <row r="814" spans="1:31" ht="15.75" x14ac:dyDescent="0.25">
      <c r="A814" s="15">
        <f>+A808+1</f>
        <v>104</v>
      </c>
      <c r="C814" s="19" t="s">
        <v>255</v>
      </c>
    </row>
    <row r="815" spans="1:31" x14ac:dyDescent="0.2">
      <c r="C815" s="6" t="s">
        <v>5</v>
      </c>
      <c r="S815" s="9">
        <v>0</v>
      </c>
      <c r="T815" s="9">
        <v>0</v>
      </c>
      <c r="U815" s="9">
        <v>0</v>
      </c>
      <c r="V815" s="9">
        <v>0</v>
      </c>
      <c r="W815" s="9">
        <v>0</v>
      </c>
      <c r="X815" s="9">
        <v>0</v>
      </c>
      <c r="Y815" s="9">
        <v>0</v>
      </c>
      <c r="Z815" s="9">
        <v>0</v>
      </c>
      <c r="AA815" s="9">
        <v>0</v>
      </c>
      <c r="AB815" s="9">
        <v>0</v>
      </c>
      <c r="AC815" s="9">
        <v>0</v>
      </c>
      <c r="AD815" s="25">
        <v>0</v>
      </c>
      <c r="AE815" s="9">
        <f>SUM(S815:AD815)</f>
        <v>0</v>
      </c>
    </row>
    <row r="816" spans="1:31" x14ac:dyDescent="0.2">
      <c r="C816" s="6" t="s">
        <v>6</v>
      </c>
      <c r="S816" s="20">
        <v>250</v>
      </c>
      <c r="AE816" s="9">
        <f>SUM(S816:AD816)</f>
        <v>250</v>
      </c>
    </row>
    <row r="817" spans="1:31" ht="13.5" thickBot="1" x14ac:dyDescent="0.25">
      <c r="C817" s="6" t="s">
        <v>7</v>
      </c>
      <c r="S817" s="9">
        <v>18111.53</v>
      </c>
      <c r="T817" s="9">
        <v>18111.53</v>
      </c>
      <c r="U817" s="9">
        <v>18111.53</v>
      </c>
      <c r="V817" s="9">
        <v>18111.53</v>
      </c>
      <c r="W817" s="9">
        <v>18111.53</v>
      </c>
      <c r="X817" s="9">
        <v>18111.52</v>
      </c>
      <c r="Y817" s="9">
        <v>35825</v>
      </c>
      <c r="Z817" s="9">
        <v>35825</v>
      </c>
      <c r="AA817" s="9">
        <v>35825</v>
      </c>
      <c r="AB817" s="9">
        <v>35825</v>
      </c>
      <c r="AC817" s="9">
        <v>35825</v>
      </c>
      <c r="AD817" s="25">
        <v>35825</v>
      </c>
      <c r="AE817" s="9">
        <f>SUM(S817:AD817)</f>
        <v>323619.17</v>
      </c>
    </row>
    <row r="818" spans="1:31" ht="13.5" thickBot="1" x14ac:dyDescent="0.25">
      <c r="C818" s="10" t="s">
        <v>256</v>
      </c>
      <c r="S818" s="11">
        <f t="shared" ref="S818:AD818" si="195">SUM(S815:S817)</f>
        <v>18361.53</v>
      </c>
      <c r="T818" s="11">
        <f t="shared" si="195"/>
        <v>18111.53</v>
      </c>
      <c r="U818" s="11">
        <f t="shared" si="195"/>
        <v>18111.53</v>
      </c>
      <c r="V818" s="11">
        <f t="shared" si="195"/>
        <v>18111.53</v>
      </c>
      <c r="W818" s="11">
        <f t="shared" si="195"/>
        <v>18111.53</v>
      </c>
      <c r="X818" s="11">
        <f t="shared" si="195"/>
        <v>18111.52</v>
      </c>
      <c r="Y818" s="11">
        <f t="shared" si="195"/>
        <v>35825</v>
      </c>
      <c r="Z818" s="11">
        <f t="shared" si="195"/>
        <v>35825</v>
      </c>
      <c r="AA818" s="11">
        <f t="shared" si="195"/>
        <v>35825</v>
      </c>
      <c r="AB818" s="11">
        <f t="shared" si="195"/>
        <v>35825</v>
      </c>
      <c r="AC818" s="11">
        <f t="shared" si="195"/>
        <v>35825</v>
      </c>
      <c r="AD818" s="38">
        <f t="shared" si="195"/>
        <v>35825</v>
      </c>
      <c r="AE818" s="11">
        <f>SUM(AE815:AE817)</f>
        <v>323869.17</v>
      </c>
    </row>
    <row r="819" spans="1:31" x14ac:dyDescent="0.2">
      <c r="C819" s="12"/>
    </row>
    <row r="820" spans="1:31" ht="15.75" x14ac:dyDescent="0.25">
      <c r="A820" s="15">
        <f>+A814+1</f>
        <v>105</v>
      </c>
      <c r="C820" s="19" t="s">
        <v>257</v>
      </c>
    </row>
    <row r="821" spans="1:31" x14ac:dyDescent="0.2">
      <c r="C821" s="6" t="s">
        <v>5</v>
      </c>
      <c r="S821" s="9">
        <v>0</v>
      </c>
      <c r="T821" s="9">
        <v>0</v>
      </c>
      <c r="U821" s="9">
        <v>0</v>
      </c>
      <c r="V821" s="9">
        <v>0</v>
      </c>
      <c r="W821" s="9">
        <v>0</v>
      </c>
      <c r="X821" s="9">
        <v>0</v>
      </c>
      <c r="Y821" s="9">
        <v>0</v>
      </c>
      <c r="Z821" s="9">
        <v>0</v>
      </c>
      <c r="AA821" s="9">
        <v>0</v>
      </c>
      <c r="AB821" s="9">
        <v>0</v>
      </c>
      <c r="AC821" s="9">
        <v>0</v>
      </c>
      <c r="AD821" s="25">
        <v>0</v>
      </c>
      <c r="AE821" s="9">
        <f>SUM(S821:AD821)</f>
        <v>0</v>
      </c>
    </row>
    <row r="822" spans="1:31" x14ac:dyDescent="0.2">
      <c r="C822" s="6" t="s">
        <v>6</v>
      </c>
      <c r="S822" s="20">
        <v>250</v>
      </c>
      <c r="AE822" s="9">
        <f>SUM(S822:AD822)</f>
        <v>250</v>
      </c>
    </row>
    <row r="823" spans="1:31" ht="13.5" thickBot="1" x14ac:dyDescent="0.25">
      <c r="C823" s="6" t="s">
        <v>7</v>
      </c>
      <c r="S823" s="9">
        <v>0</v>
      </c>
      <c r="T823" s="9">
        <v>0</v>
      </c>
      <c r="U823" s="9">
        <v>0</v>
      </c>
      <c r="V823" s="9">
        <v>0</v>
      </c>
      <c r="W823" s="9">
        <v>0</v>
      </c>
      <c r="X823" s="9">
        <v>0</v>
      </c>
      <c r="Y823" s="9">
        <v>0</v>
      </c>
      <c r="Z823" s="9">
        <v>0</v>
      </c>
      <c r="AA823" s="9">
        <v>0</v>
      </c>
      <c r="AB823" s="9">
        <v>0</v>
      </c>
      <c r="AC823" s="20">
        <v>26167.02</v>
      </c>
      <c r="AD823" s="37">
        <v>26167.01</v>
      </c>
      <c r="AE823" s="9">
        <f>SUM(S823:AD823)</f>
        <v>52334.03</v>
      </c>
    </row>
    <row r="824" spans="1:31" ht="13.5" thickBot="1" x14ac:dyDescent="0.25">
      <c r="C824" s="10" t="s">
        <v>258</v>
      </c>
      <c r="S824" s="11">
        <f t="shared" ref="S824:AD824" si="196">SUM(S821:S823)</f>
        <v>250</v>
      </c>
      <c r="T824" s="11">
        <f t="shared" si="196"/>
        <v>0</v>
      </c>
      <c r="U824" s="11">
        <f t="shared" si="196"/>
        <v>0</v>
      </c>
      <c r="V824" s="11">
        <f t="shared" si="196"/>
        <v>0</v>
      </c>
      <c r="W824" s="11">
        <f t="shared" si="196"/>
        <v>0</v>
      </c>
      <c r="X824" s="11">
        <f t="shared" si="196"/>
        <v>0</v>
      </c>
      <c r="Y824" s="11">
        <f t="shared" si="196"/>
        <v>0</v>
      </c>
      <c r="Z824" s="11">
        <f t="shared" si="196"/>
        <v>0</v>
      </c>
      <c r="AA824" s="11">
        <f t="shared" si="196"/>
        <v>0</v>
      </c>
      <c r="AB824" s="11">
        <f t="shared" si="196"/>
        <v>0</v>
      </c>
      <c r="AC824" s="11">
        <f t="shared" si="196"/>
        <v>26167.02</v>
      </c>
      <c r="AD824" s="38">
        <f t="shared" si="196"/>
        <v>26167.01</v>
      </c>
      <c r="AE824" s="11">
        <f>SUM(AE821:AE823)</f>
        <v>52584.03</v>
      </c>
    </row>
    <row r="825" spans="1:31" x14ac:dyDescent="0.2">
      <c r="C825" s="12"/>
    </row>
    <row r="826" spans="1:31" ht="15.75" x14ac:dyDescent="0.25">
      <c r="A826" s="15">
        <f>+A820+1</f>
        <v>106</v>
      </c>
      <c r="C826" s="19" t="s">
        <v>259</v>
      </c>
    </row>
    <row r="827" spans="1:31" x14ac:dyDescent="0.2">
      <c r="C827" s="6" t="s">
        <v>5</v>
      </c>
      <c r="S827" s="9">
        <v>0</v>
      </c>
      <c r="T827" s="9">
        <v>0</v>
      </c>
      <c r="U827" s="9">
        <v>0</v>
      </c>
      <c r="V827" s="9">
        <v>0</v>
      </c>
      <c r="W827" s="9">
        <v>0</v>
      </c>
      <c r="X827" s="9">
        <v>0</v>
      </c>
      <c r="Y827" s="9">
        <v>0</v>
      </c>
      <c r="Z827" s="9">
        <v>0</v>
      </c>
      <c r="AA827" s="9">
        <v>0</v>
      </c>
      <c r="AB827" s="9">
        <v>0</v>
      </c>
      <c r="AC827" s="9">
        <v>0</v>
      </c>
      <c r="AD827" s="25">
        <v>0</v>
      </c>
      <c r="AE827" s="9">
        <f>SUM(S827:AD827)</f>
        <v>0</v>
      </c>
    </row>
    <row r="828" spans="1:31" x14ac:dyDescent="0.2">
      <c r="C828" s="6" t="s">
        <v>6</v>
      </c>
      <c r="S828" s="20">
        <v>250</v>
      </c>
      <c r="AE828" s="9">
        <f>SUM(S828:AD828)</f>
        <v>250</v>
      </c>
    </row>
    <row r="829" spans="1:31" ht="13.5" thickBot="1" x14ac:dyDescent="0.25">
      <c r="C829" s="6" t="s">
        <v>7</v>
      </c>
      <c r="S829" s="9">
        <f>8333.33+37153.36</f>
        <v>45486.69</v>
      </c>
      <c r="T829" s="9">
        <f>8333.33+37153.35</f>
        <v>45486.68</v>
      </c>
      <c r="U829" s="42">
        <f>8333.33+26966.15-530.42</f>
        <v>34769.060000000005</v>
      </c>
      <c r="V829" s="20">
        <f>8333.33+26966.15</f>
        <v>35299.480000000003</v>
      </c>
      <c r="W829" s="20">
        <f>8333.33+26966.15</f>
        <v>35299.480000000003</v>
      </c>
      <c r="X829" s="20">
        <f>8333.33+26966.15</f>
        <v>35299.480000000003</v>
      </c>
      <c r="Y829" s="20">
        <f>8333.33+26966.15</f>
        <v>35299.480000000003</v>
      </c>
      <c r="Z829" s="20">
        <f>8333.36+26966.13</f>
        <v>35299.490000000005</v>
      </c>
      <c r="AA829" s="20">
        <f>8333.33+26638.02</f>
        <v>34971.35</v>
      </c>
      <c r="AB829" s="20">
        <f>8333.33+26638.02</f>
        <v>34971.35</v>
      </c>
      <c r="AC829" s="20">
        <f>8333.33+26638.02</f>
        <v>34971.35</v>
      </c>
      <c r="AD829" s="37">
        <f>8333.33+26638.02</f>
        <v>34971.35</v>
      </c>
      <c r="AE829" s="9">
        <f>SUM(S829:AD829)</f>
        <v>442125.23999999993</v>
      </c>
    </row>
    <row r="830" spans="1:31" ht="13.5" thickBot="1" x14ac:dyDescent="0.25">
      <c r="C830" s="10" t="s">
        <v>10</v>
      </c>
      <c r="S830" s="11">
        <f t="shared" ref="S830:AD830" si="197">SUM(S827:S829)</f>
        <v>45736.69</v>
      </c>
      <c r="T830" s="11">
        <f t="shared" si="197"/>
        <v>45486.68</v>
      </c>
      <c r="U830" s="11">
        <f t="shared" si="197"/>
        <v>34769.060000000005</v>
      </c>
      <c r="V830" s="11">
        <f t="shared" si="197"/>
        <v>35299.480000000003</v>
      </c>
      <c r="W830" s="11">
        <f t="shared" si="197"/>
        <v>35299.480000000003</v>
      </c>
      <c r="X830" s="11">
        <f t="shared" si="197"/>
        <v>35299.480000000003</v>
      </c>
      <c r="Y830" s="11">
        <f t="shared" si="197"/>
        <v>35299.480000000003</v>
      </c>
      <c r="Z830" s="11">
        <f t="shared" si="197"/>
        <v>35299.490000000005</v>
      </c>
      <c r="AA830" s="11">
        <f t="shared" si="197"/>
        <v>34971.35</v>
      </c>
      <c r="AB830" s="11">
        <f t="shared" si="197"/>
        <v>34971.35</v>
      </c>
      <c r="AC830" s="11">
        <f t="shared" si="197"/>
        <v>34971.35</v>
      </c>
      <c r="AD830" s="38">
        <f t="shared" si="197"/>
        <v>34971.35</v>
      </c>
      <c r="AE830" s="11">
        <f>SUM(AE827:AE829)</f>
        <v>442375.23999999993</v>
      </c>
    </row>
    <row r="831" spans="1:31" x14ac:dyDescent="0.2">
      <c r="C831" s="12"/>
    </row>
    <row r="832" spans="1:31" ht="15.75" x14ac:dyDescent="0.25">
      <c r="A832" s="15">
        <f>+A826+1</f>
        <v>107</v>
      </c>
      <c r="B832" s="1" t="s">
        <v>139</v>
      </c>
      <c r="C832" s="19" t="s">
        <v>260</v>
      </c>
    </row>
    <row r="833" spans="1:31" x14ac:dyDescent="0.2">
      <c r="C833" s="6" t="s">
        <v>5</v>
      </c>
      <c r="S833" s="9">
        <v>0</v>
      </c>
      <c r="T833" s="9">
        <v>0</v>
      </c>
      <c r="U833" s="9">
        <v>0</v>
      </c>
      <c r="V833" s="9">
        <v>0</v>
      </c>
      <c r="W833" s="9">
        <v>0</v>
      </c>
      <c r="X833" s="9">
        <v>0</v>
      </c>
      <c r="Y833" s="9">
        <v>0</v>
      </c>
      <c r="Z833" s="9">
        <v>0</v>
      </c>
      <c r="AA833" s="9">
        <v>0</v>
      </c>
      <c r="AB833" s="9">
        <v>0</v>
      </c>
      <c r="AC833" s="9">
        <v>0</v>
      </c>
      <c r="AD833" s="25">
        <v>0</v>
      </c>
      <c r="AE833" s="9">
        <f>SUM(S833:AD833)</f>
        <v>0</v>
      </c>
    </row>
    <row r="834" spans="1:31" x14ac:dyDescent="0.2">
      <c r="C834" s="6" t="s">
        <v>6</v>
      </c>
      <c r="S834" s="20">
        <f>ROUND(250*0.42,2)</f>
        <v>105</v>
      </c>
      <c r="X834" s="42">
        <v>5.97</v>
      </c>
      <c r="AE834" s="9">
        <f>SUM(S834:AD834)</f>
        <v>110.97</v>
      </c>
    </row>
    <row r="835" spans="1:31" ht="13.5" thickBot="1" x14ac:dyDescent="0.25">
      <c r="C835" s="6" t="s">
        <v>7</v>
      </c>
      <c r="S835" s="9">
        <f>ROUND((55833.33+373495.83)*0.42,2)</f>
        <v>180318.25</v>
      </c>
      <c r="T835" s="9">
        <f>ROUND((55833.33+373495.83)*0.42,2)</f>
        <v>180318.25</v>
      </c>
      <c r="U835" s="9">
        <f>ROUND((55833.33+373495.83)*0.42,2)</f>
        <v>180318.25</v>
      </c>
      <c r="V835" s="9">
        <f>ROUND((55833.33+373495.83)*0.42,2)</f>
        <v>180318.25</v>
      </c>
      <c r="W835" s="9">
        <f>ROUND((55833.33+373495.83)*0.42,2)</f>
        <v>180318.25</v>
      </c>
      <c r="X835" s="9">
        <f>ROUND((55833.33+373495.85)*0.4439,2)+51304.8</f>
        <v>241884.02000000002</v>
      </c>
      <c r="Y835" s="9">
        <f>ROUND((55833.33+373495.83)*0.4439,2)</f>
        <v>190579.21</v>
      </c>
      <c r="Z835" s="9">
        <f>ROUND((55833.33+373495.83)*0.4439,2)</f>
        <v>190579.21</v>
      </c>
      <c r="AA835" s="9">
        <f>ROUND((55833.33+373495.83)*0.4439,2)</f>
        <v>190579.21</v>
      </c>
      <c r="AB835" s="9">
        <f>ROUND((55833.33+373495.83)*0.4439,2)</f>
        <v>190579.21</v>
      </c>
      <c r="AC835" s="9">
        <f>ROUND((55833.33+373495.83)*0.4439,2)</f>
        <v>190579.21</v>
      </c>
      <c r="AD835" s="25">
        <f>ROUND((55833.37+373495.85)*0.4439,2)</f>
        <v>190579.24</v>
      </c>
      <c r="AE835" s="9">
        <f>SUM(S835:AD835)</f>
        <v>2286950.5599999996</v>
      </c>
    </row>
    <row r="836" spans="1:31" ht="13.5" thickBot="1" x14ac:dyDescent="0.25">
      <c r="C836" s="10" t="s">
        <v>261</v>
      </c>
      <c r="S836" s="11">
        <f t="shared" ref="S836:AD836" si="198">SUM(S833:S835)</f>
        <v>180423.25</v>
      </c>
      <c r="T836" s="11">
        <f t="shared" si="198"/>
        <v>180318.25</v>
      </c>
      <c r="U836" s="11">
        <f t="shared" si="198"/>
        <v>180318.25</v>
      </c>
      <c r="V836" s="11">
        <f t="shared" si="198"/>
        <v>180318.25</v>
      </c>
      <c r="W836" s="11">
        <f t="shared" si="198"/>
        <v>180318.25</v>
      </c>
      <c r="X836" s="11">
        <f t="shared" si="198"/>
        <v>241889.99000000002</v>
      </c>
      <c r="Y836" s="11">
        <f t="shared" si="198"/>
        <v>190579.21</v>
      </c>
      <c r="Z836" s="11">
        <f t="shared" si="198"/>
        <v>190579.21</v>
      </c>
      <c r="AA836" s="11">
        <f t="shared" si="198"/>
        <v>190579.21</v>
      </c>
      <c r="AB836" s="11">
        <f t="shared" si="198"/>
        <v>190579.21</v>
      </c>
      <c r="AC836" s="11">
        <f t="shared" si="198"/>
        <v>190579.21</v>
      </c>
      <c r="AD836" s="38">
        <f t="shared" si="198"/>
        <v>190579.24</v>
      </c>
      <c r="AE836" s="11">
        <f>SUM(AE833:AE835)</f>
        <v>2287061.5299999998</v>
      </c>
    </row>
    <row r="837" spans="1:31" x14ac:dyDescent="0.2">
      <c r="C837" s="12"/>
    </row>
    <row r="838" spans="1:31" ht="15.75" x14ac:dyDescent="0.25">
      <c r="A838" s="15">
        <f>A832</f>
        <v>107</v>
      </c>
      <c r="B838" s="1" t="s">
        <v>142</v>
      </c>
      <c r="C838" s="19" t="s">
        <v>262</v>
      </c>
    </row>
    <row r="839" spans="1:31" x14ac:dyDescent="0.2">
      <c r="C839" s="6" t="s">
        <v>5</v>
      </c>
      <c r="S839" s="9">
        <v>0</v>
      </c>
      <c r="T839" s="9">
        <v>0</v>
      </c>
      <c r="U839" s="9">
        <v>0</v>
      </c>
      <c r="V839" s="9">
        <v>0</v>
      </c>
      <c r="W839" s="9">
        <v>0</v>
      </c>
      <c r="X839" s="9">
        <v>0</v>
      </c>
      <c r="Y839" s="9">
        <v>0</v>
      </c>
      <c r="Z839" s="9">
        <v>0</v>
      </c>
      <c r="AA839" s="9">
        <v>0</v>
      </c>
      <c r="AB839" s="9">
        <v>0</v>
      </c>
      <c r="AC839" s="9">
        <v>0</v>
      </c>
      <c r="AD839" s="25">
        <v>0</v>
      </c>
      <c r="AE839" s="9">
        <f>SUM(S839:AD839)</f>
        <v>0</v>
      </c>
    </row>
    <row r="840" spans="1:31" x14ac:dyDescent="0.2">
      <c r="C840" s="6" t="s">
        <v>6</v>
      </c>
      <c r="S840" s="20">
        <f>ROUND(250*0.58,2)</f>
        <v>145</v>
      </c>
      <c r="X840" s="42">
        <v>-5.97</v>
      </c>
      <c r="AE840" s="9">
        <f>SUM(S840:AD840)</f>
        <v>139.03</v>
      </c>
    </row>
    <row r="841" spans="1:31" ht="13.5" thickBot="1" x14ac:dyDescent="0.25">
      <c r="C841" s="6" t="s">
        <v>7</v>
      </c>
      <c r="S841" s="9">
        <f>ROUND((55833.33+373495.83)*0.58,2)</f>
        <v>249010.91</v>
      </c>
      <c r="T841" s="9">
        <f>ROUND((55833.33+373495.83)*0.58,2)</f>
        <v>249010.91</v>
      </c>
      <c r="U841" s="9">
        <f>ROUND((55833.33+373495.83)*0.58,2)</f>
        <v>249010.91</v>
      </c>
      <c r="V841" s="9">
        <f>ROUND((55833.33+373495.83)*0.58,2)</f>
        <v>249010.91</v>
      </c>
      <c r="W841" s="9">
        <f>ROUND((55833.33+373495.83)*0.58,2)</f>
        <v>249010.91</v>
      </c>
      <c r="X841" s="9">
        <f>ROUND((55833.33+373495.85)*0.5561,2)-51304.8</f>
        <v>187445.15999999997</v>
      </c>
      <c r="Y841" s="9">
        <f>ROUND((55833.33+373495.83)*0.5561,2)</f>
        <v>238749.95</v>
      </c>
      <c r="Z841" s="9">
        <f>ROUND((55833.33+373495.83)*0.5561,2)</f>
        <v>238749.95</v>
      </c>
      <c r="AA841" s="9">
        <f>ROUND((55833.33+373495.83)*0.5561,2)</f>
        <v>238749.95</v>
      </c>
      <c r="AB841" s="9">
        <f>ROUND((55833.33+373495.83)*0.5561,2)</f>
        <v>238749.95</v>
      </c>
      <c r="AC841" s="9">
        <f>ROUND((55833.33+373495.83)*0.5561,2)</f>
        <v>238749.95</v>
      </c>
      <c r="AD841" s="25">
        <f>ROUND((55833.37+373495.85)*0.5561,2)</f>
        <v>238749.98</v>
      </c>
      <c r="AE841" s="9">
        <f>SUM(S841:AD841)</f>
        <v>2864999.4400000004</v>
      </c>
    </row>
    <row r="842" spans="1:31" ht="13.5" thickBot="1" x14ac:dyDescent="0.25">
      <c r="C842" s="10" t="s">
        <v>263</v>
      </c>
      <c r="S842" s="11">
        <f t="shared" ref="S842:AD842" si="199">SUM(S839:S841)</f>
        <v>249155.91</v>
      </c>
      <c r="T842" s="11">
        <f t="shared" si="199"/>
        <v>249010.91</v>
      </c>
      <c r="U842" s="11">
        <f t="shared" si="199"/>
        <v>249010.91</v>
      </c>
      <c r="V842" s="11">
        <f t="shared" si="199"/>
        <v>249010.91</v>
      </c>
      <c r="W842" s="11">
        <f t="shared" si="199"/>
        <v>249010.91</v>
      </c>
      <c r="X842" s="11">
        <f t="shared" si="199"/>
        <v>187439.18999999997</v>
      </c>
      <c r="Y842" s="11">
        <f t="shared" si="199"/>
        <v>238749.95</v>
      </c>
      <c r="Z842" s="11">
        <f t="shared" si="199"/>
        <v>238749.95</v>
      </c>
      <c r="AA842" s="11">
        <f t="shared" si="199"/>
        <v>238749.95</v>
      </c>
      <c r="AB842" s="11">
        <f t="shared" si="199"/>
        <v>238749.95</v>
      </c>
      <c r="AC842" s="11">
        <f t="shared" si="199"/>
        <v>238749.95</v>
      </c>
      <c r="AD842" s="38">
        <f t="shared" si="199"/>
        <v>238749.98</v>
      </c>
      <c r="AE842" s="11">
        <f>SUM(AE839:AE841)</f>
        <v>2865138.47</v>
      </c>
    </row>
    <row r="843" spans="1:31" x14ac:dyDescent="0.2">
      <c r="C843" s="12"/>
    </row>
    <row r="844" spans="1:31" ht="15.75" x14ac:dyDescent="0.25">
      <c r="A844" s="15">
        <f>+A832+1</f>
        <v>108</v>
      </c>
      <c r="B844" s="1" t="s">
        <v>139</v>
      </c>
      <c r="C844" s="19" t="s">
        <v>264</v>
      </c>
    </row>
    <row r="845" spans="1:31" x14ac:dyDescent="0.2">
      <c r="C845" s="6" t="s">
        <v>5</v>
      </c>
      <c r="S845" s="9">
        <v>0</v>
      </c>
      <c r="T845" s="9">
        <v>0</v>
      </c>
      <c r="U845" s="9">
        <v>0</v>
      </c>
      <c r="V845" s="9">
        <v>0</v>
      </c>
      <c r="W845" s="9">
        <v>0</v>
      </c>
      <c r="X845" s="9">
        <v>0</v>
      </c>
      <c r="Y845" s="9">
        <v>0</v>
      </c>
      <c r="Z845" s="9">
        <v>0</v>
      </c>
      <c r="AA845" s="9">
        <v>0</v>
      </c>
      <c r="AB845" s="9">
        <v>0</v>
      </c>
      <c r="AC845" s="9">
        <v>0</v>
      </c>
      <c r="AD845" s="25">
        <v>0</v>
      </c>
      <c r="AE845" s="9">
        <f>SUM(S845:AD845)</f>
        <v>0</v>
      </c>
    </row>
    <row r="846" spans="1:31" x14ac:dyDescent="0.2">
      <c r="C846" s="6" t="s">
        <v>6</v>
      </c>
      <c r="S846" s="20">
        <f>ROUND(250*0.31,2)</f>
        <v>77.5</v>
      </c>
      <c r="X846" s="42">
        <v>-7.08</v>
      </c>
      <c r="AE846" s="9">
        <f>SUM(S846:AD846)</f>
        <v>70.42</v>
      </c>
    </row>
    <row r="847" spans="1:31" ht="13.5" thickBot="1" x14ac:dyDescent="0.25">
      <c r="C847" s="6" t="s">
        <v>7</v>
      </c>
      <c r="S847" s="9">
        <f>ROUND((35000+207216.15)*0.31,2)</f>
        <v>75087.009999999995</v>
      </c>
      <c r="T847" s="9">
        <f>ROUND((35000+207216.15)*0.31,2)</f>
        <v>75087.009999999995</v>
      </c>
      <c r="U847" s="9">
        <f>ROUND((35000+207216.15)*0.31,2)</f>
        <v>75087.009999999995</v>
      </c>
      <c r="V847" s="9">
        <f>ROUND((35000+207216.15)*0.31,2)</f>
        <v>75087.009999999995</v>
      </c>
      <c r="W847" s="9">
        <f>ROUND((35000+207216.15)*0.31,2)</f>
        <v>75087.009999999995</v>
      </c>
      <c r="X847" s="9">
        <f>ROUND((35000+207216.13)*0.2817,2)-34273.6</f>
        <v>33958.68</v>
      </c>
      <c r="Y847" s="9">
        <f>ROUND((35000+206195.31)*0.2817,2)</f>
        <v>67944.72</v>
      </c>
      <c r="Z847" s="9">
        <f>ROUND((35000+206195.31)*0.2817,2)</f>
        <v>67944.72</v>
      </c>
      <c r="AA847" s="9">
        <f>ROUND((35000+206195.31)*0.2817,2)</f>
        <v>67944.72</v>
      </c>
      <c r="AB847" s="9">
        <f>ROUND((35000+206195.31)*0.2817,2)</f>
        <v>67944.72</v>
      </c>
      <c r="AC847" s="9">
        <f>ROUND((35000+206195.31)*0.2817,2)</f>
        <v>67944.72</v>
      </c>
      <c r="AD847" s="25">
        <f>ROUND((35000+206195.33)*0.2817,2)+0.01</f>
        <v>67944.73</v>
      </c>
      <c r="AE847" s="9">
        <f>SUM(S847:AD847)</f>
        <v>817062.05999999982</v>
      </c>
    </row>
    <row r="848" spans="1:31" ht="13.5" thickBot="1" x14ac:dyDescent="0.25">
      <c r="C848" s="10" t="s">
        <v>131</v>
      </c>
      <c r="S848" s="11">
        <f t="shared" ref="S848:AD848" si="200">SUM(S845:S847)</f>
        <v>75164.509999999995</v>
      </c>
      <c r="T848" s="11">
        <f t="shared" si="200"/>
        <v>75087.009999999995</v>
      </c>
      <c r="U848" s="11">
        <f t="shared" si="200"/>
        <v>75087.009999999995</v>
      </c>
      <c r="V848" s="11">
        <f t="shared" si="200"/>
        <v>75087.009999999995</v>
      </c>
      <c r="W848" s="11">
        <f t="shared" si="200"/>
        <v>75087.009999999995</v>
      </c>
      <c r="X848" s="11">
        <f t="shared" si="200"/>
        <v>33951.599999999999</v>
      </c>
      <c r="Y848" s="11">
        <f t="shared" si="200"/>
        <v>67944.72</v>
      </c>
      <c r="Z848" s="11">
        <f t="shared" si="200"/>
        <v>67944.72</v>
      </c>
      <c r="AA848" s="11">
        <f t="shared" si="200"/>
        <v>67944.72</v>
      </c>
      <c r="AB848" s="11">
        <f t="shared" si="200"/>
        <v>67944.72</v>
      </c>
      <c r="AC848" s="11">
        <f t="shared" si="200"/>
        <v>67944.72</v>
      </c>
      <c r="AD848" s="38">
        <f t="shared" si="200"/>
        <v>67944.73</v>
      </c>
      <c r="AE848" s="11">
        <f>SUM(AE845:AE847)</f>
        <v>817132.47999999986</v>
      </c>
    </row>
    <row r="849" spans="1:31" x14ac:dyDescent="0.2">
      <c r="C849" s="12"/>
    </row>
    <row r="850" spans="1:31" ht="15.75" x14ac:dyDescent="0.25">
      <c r="A850" s="15">
        <f>A844</f>
        <v>108</v>
      </c>
      <c r="B850" s="1" t="s">
        <v>142</v>
      </c>
      <c r="C850" s="19" t="s">
        <v>265</v>
      </c>
    </row>
    <row r="851" spans="1:31" x14ac:dyDescent="0.2">
      <c r="C851" s="6" t="s">
        <v>5</v>
      </c>
      <c r="S851" s="9">
        <v>0</v>
      </c>
      <c r="T851" s="9">
        <v>0</v>
      </c>
      <c r="U851" s="9">
        <v>0</v>
      </c>
      <c r="V851" s="9">
        <v>0</v>
      </c>
      <c r="W851" s="9">
        <v>0</v>
      </c>
      <c r="X851" s="9">
        <v>0</v>
      </c>
      <c r="Y851" s="9">
        <v>0</v>
      </c>
      <c r="Z851" s="9">
        <v>0</v>
      </c>
      <c r="AA851" s="9">
        <v>0</v>
      </c>
      <c r="AB851" s="9">
        <v>0</v>
      </c>
      <c r="AC851" s="9">
        <v>0</v>
      </c>
      <c r="AD851" s="25">
        <v>0</v>
      </c>
      <c r="AE851" s="9">
        <f>SUM(S851:AD851)</f>
        <v>0</v>
      </c>
    </row>
    <row r="852" spans="1:31" x14ac:dyDescent="0.2">
      <c r="C852" s="6" t="s">
        <v>6</v>
      </c>
      <c r="S852" s="20">
        <f>ROUND(250*0.41,2)</f>
        <v>102.5</v>
      </c>
      <c r="X852" s="42">
        <v>7.68</v>
      </c>
      <c r="AE852" s="9">
        <f>SUM(S852:AD852)</f>
        <v>110.18</v>
      </c>
    </row>
    <row r="853" spans="1:31" ht="13.5" thickBot="1" x14ac:dyDescent="0.25">
      <c r="C853" s="6" t="s">
        <v>7</v>
      </c>
      <c r="S853" s="9">
        <f>ROUND((35000+207216.15)*0.41,2)</f>
        <v>99308.62</v>
      </c>
      <c r="T853" s="9">
        <f>ROUND((35000+207216.15)*0.41,2)</f>
        <v>99308.62</v>
      </c>
      <c r="U853" s="9">
        <f>ROUND((35000+207216.15)*0.41,2)</f>
        <v>99308.62</v>
      </c>
      <c r="V853" s="9">
        <f>ROUND((35000+207216.15)*0.41,2)</f>
        <v>99308.62</v>
      </c>
      <c r="W853" s="9">
        <f>ROUND((35000+207216.15)*0.41,2)</f>
        <v>99308.62</v>
      </c>
      <c r="X853" s="9">
        <f>ROUND((35000+207216.13)*0.4407,2)+37180.2</f>
        <v>143924.84999999998</v>
      </c>
      <c r="Y853" s="9">
        <f>ROUND((35000+206195.31)*0.4407,2)</f>
        <v>106294.77</v>
      </c>
      <c r="Z853" s="9">
        <f>ROUND((35000+206195.31)*0.4407,2)</f>
        <v>106294.77</v>
      </c>
      <c r="AA853" s="9">
        <f>ROUND((35000+206195.31)*0.4407,2)</f>
        <v>106294.77</v>
      </c>
      <c r="AB853" s="9">
        <f>ROUND((35000+206195.31)*0.4407,2)</f>
        <v>106294.77</v>
      </c>
      <c r="AC853" s="9">
        <f>ROUND((35000+206195.31)*0.4407,2)</f>
        <v>106294.77</v>
      </c>
      <c r="AD853" s="25">
        <f>ROUND((35000+206195.33)*0.4407,2)</f>
        <v>106294.78</v>
      </c>
      <c r="AE853" s="9">
        <f>SUM(S853:AD853)</f>
        <v>1278236.58</v>
      </c>
    </row>
    <row r="854" spans="1:31" ht="13.5" thickBot="1" x14ac:dyDescent="0.25">
      <c r="C854" s="10" t="s">
        <v>266</v>
      </c>
      <c r="S854" s="11">
        <f t="shared" ref="S854:AD854" si="201">SUM(S851:S853)</f>
        <v>99411.12</v>
      </c>
      <c r="T854" s="11">
        <f t="shared" si="201"/>
        <v>99308.62</v>
      </c>
      <c r="U854" s="11">
        <f t="shared" si="201"/>
        <v>99308.62</v>
      </c>
      <c r="V854" s="11">
        <f t="shared" si="201"/>
        <v>99308.62</v>
      </c>
      <c r="W854" s="11">
        <f t="shared" si="201"/>
        <v>99308.62</v>
      </c>
      <c r="X854" s="11">
        <f t="shared" si="201"/>
        <v>143932.52999999997</v>
      </c>
      <c r="Y854" s="11">
        <f t="shared" si="201"/>
        <v>106294.77</v>
      </c>
      <c r="Z854" s="11">
        <f t="shared" si="201"/>
        <v>106294.77</v>
      </c>
      <c r="AA854" s="11">
        <f t="shared" si="201"/>
        <v>106294.77</v>
      </c>
      <c r="AB854" s="11">
        <f t="shared" si="201"/>
        <v>106294.77</v>
      </c>
      <c r="AC854" s="11">
        <f t="shared" si="201"/>
        <v>106294.77</v>
      </c>
      <c r="AD854" s="38">
        <f t="shared" si="201"/>
        <v>106294.78</v>
      </c>
      <c r="AE854" s="11">
        <f>SUM(AE851:AE853)</f>
        <v>1278346.76</v>
      </c>
    </row>
    <row r="855" spans="1:31" x14ac:dyDescent="0.2">
      <c r="C855" s="12"/>
    </row>
    <row r="856" spans="1:31" ht="15.75" x14ac:dyDescent="0.25">
      <c r="A856" s="15">
        <f>A844</f>
        <v>108</v>
      </c>
      <c r="B856" s="1" t="s">
        <v>145</v>
      </c>
      <c r="C856" s="19" t="s">
        <v>267</v>
      </c>
    </row>
    <row r="857" spans="1:31" x14ac:dyDescent="0.2">
      <c r="C857" s="6" t="s">
        <v>5</v>
      </c>
      <c r="S857" s="9">
        <v>0</v>
      </c>
      <c r="T857" s="9">
        <v>0</v>
      </c>
      <c r="U857" s="9">
        <v>0</v>
      </c>
      <c r="V857" s="9">
        <v>0</v>
      </c>
      <c r="W857" s="9">
        <v>0</v>
      </c>
      <c r="X857" s="9">
        <v>0</v>
      </c>
      <c r="Y857" s="9">
        <v>0</v>
      </c>
      <c r="Z857" s="9">
        <v>0</v>
      </c>
      <c r="AA857" s="9">
        <v>0</v>
      </c>
      <c r="AB857" s="9">
        <v>0</v>
      </c>
      <c r="AC857" s="9">
        <v>0</v>
      </c>
      <c r="AD857" s="25">
        <v>0</v>
      </c>
      <c r="AE857" s="9">
        <f>SUM(S857:AD857)</f>
        <v>0</v>
      </c>
    </row>
    <row r="858" spans="1:31" x14ac:dyDescent="0.2">
      <c r="C858" s="6" t="s">
        <v>6</v>
      </c>
      <c r="S858" s="20">
        <f>ROUND(250*0.28,2)</f>
        <v>70</v>
      </c>
      <c r="X858" s="42">
        <v>-0.6</v>
      </c>
      <c r="AE858" s="9">
        <f>SUM(S858:AD858)</f>
        <v>69.400000000000006</v>
      </c>
    </row>
    <row r="859" spans="1:31" ht="13.5" thickBot="1" x14ac:dyDescent="0.25">
      <c r="C859" s="6" t="s">
        <v>7</v>
      </c>
      <c r="S859" s="9">
        <f>ROUND((35000+207216.15)*0.28,2)</f>
        <v>67820.52</v>
      </c>
      <c r="T859" s="9">
        <f>ROUND((35000+207216.15)*0.28,2)</f>
        <v>67820.52</v>
      </c>
      <c r="U859" s="9">
        <f>ROUND((35000+207216.15)*0.28,2)</f>
        <v>67820.52</v>
      </c>
      <c r="V859" s="9">
        <f>ROUND((35000+207216.15)*0.28,2)</f>
        <v>67820.52</v>
      </c>
      <c r="W859" s="9">
        <f>ROUND((35000+207216.15)*0.28,2)</f>
        <v>67820.52</v>
      </c>
      <c r="X859" s="9">
        <f>ROUND((35000+207216.13)*0.2776,2)-2906.6</f>
        <v>64332.6</v>
      </c>
      <c r="Y859" s="9">
        <f>ROUND((35000+206195.31)*0.2776,2)</f>
        <v>66955.820000000007</v>
      </c>
      <c r="Z859" s="9">
        <f>ROUND((35000+206195.31)*0.2776,2)</f>
        <v>66955.820000000007</v>
      </c>
      <c r="AA859" s="9">
        <f>ROUND((35000+206195.31)*0.2776,2)</f>
        <v>66955.820000000007</v>
      </c>
      <c r="AB859" s="9">
        <f>ROUND((35000+206195.31)*0.2776,2)</f>
        <v>66955.820000000007</v>
      </c>
      <c r="AC859" s="9">
        <f>ROUND((35000+206195.31)*0.2776,2)</f>
        <v>66955.820000000007</v>
      </c>
      <c r="AD859" s="25">
        <f>ROUND((35000+206195.33)*0.2776,2)</f>
        <v>66955.820000000007</v>
      </c>
      <c r="AE859" s="9">
        <f>SUM(S859:AD859)</f>
        <v>805170.12000000034</v>
      </c>
    </row>
    <row r="860" spans="1:31" ht="13.5" thickBot="1" x14ac:dyDescent="0.25">
      <c r="C860" s="10" t="s">
        <v>268</v>
      </c>
      <c r="S860" s="11">
        <f t="shared" ref="S860:AD860" si="202">SUM(S857:S859)</f>
        <v>67890.52</v>
      </c>
      <c r="T860" s="11">
        <f t="shared" si="202"/>
        <v>67820.52</v>
      </c>
      <c r="U860" s="11">
        <f t="shared" si="202"/>
        <v>67820.52</v>
      </c>
      <c r="V860" s="11">
        <f t="shared" si="202"/>
        <v>67820.52</v>
      </c>
      <c r="W860" s="11">
        <f t="shared" si="202"/>
        <v>67820.52</v>
      </c>
      <c r="X860" s="11">
        <f t="shared" si="202"/>
        <v>64332</v>
      </c>
      <c r="Y860" s="11">
        <f t="shared" si="202"/>
        <v>66955.820000000007</v>
      </c>
      <c r="Z860" s="11">
        <f t="shared" si="202"/>
        <v>66955.820000000007</v>
      </c>
      <c r="AA860" s="11">
        <f t="shared" si="202"/>
        <v>66955.820000000007</v>
      </c>
      <c r="AB860" s="11">
        <f t="shared" si="202"/>
        <v>66955.820000000007</v>
      </c>
      <c r="AC860" s="11">
        <f t="shared" si="202"/>
        <v>66955.820000000007</v>
      </c>
      <c r="AD860" s="38">
        <f t="shared" si="202"/>
        <v>66955.820000000007</v>
      </c>
      <c r="AE860" s="11">
        <f>SUM(AE857:AE859)</f>
        <v>805239.52000000037</v>
      </c>
    </row>
    <row r="861" spans="1:31" x14ac:dyDescent="0.2">
      <c r="C861" s="12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40"/>
      <c r="AE861" s="27"/>
    </row>
    <row r="862" spans="1:31" ht="15.75" x14ac:dyDescent="0.25">
      <c r="A862" s="15">
        <f>A856+1</f>
        <v>109</v>
      </c>
      <c r="C862" s="19" t="s">
        <v>269</v>
      </c>
    </row>
    <row r="863" spans="1:31" x14ac:dyDescent="0.2">
      <c r="C863" s="6" t="s">
        <v>5</v>
      </c>
      <c r="S863" s="9">
        <v>0</v>
      </c>
      <c r="T863" s="9">
        <v>0</v>
      </c>
      <c r="U863" s="9">
        <v>0</v>
      </c>
      <c r="V863" s="9">
        <v>0</v>
      </c>
      <c r="W863" s="9">
        <v>0</v>
      </c>
      <c r="X863" s="9">
        <v>0</v>
      </c>
      <c r="Y863" s="9">
        <v>0</v>
      </c>
      <c r="Z863" s="9">
        <v>0</v>
      </c>
      <c r="AA863" s="9">
        <v>0</v>
      </c>
      <c r="AB863" s="9">
        <v>0</v>
      </c>
      <c r="AC863" s="9">
        <v>0</v>
      </c>
      <c r="AD863" s="25">
        <v>0</v>
      </c>
      <c r="AE863" s="9">
        <f>SUM(S863:AD863)</f>
        <v>0</v>
      </c>
    </row>
    <row r="864" spans="1:31" x14ac:dyDescent="0.2">
      <c r="C864" s="6" t="s">
        <v>6</v>
      </c>
      <c r="S864" s="20">
        <v>250</v>
      </c>
      <c r="AE864" s="9">
        <f>SUM(S864:AD864)</f>
        <v>250</v>
      </c>
    </row>
    <row r="865" spans="1:31" ht="13.5" thickBot="1" x14ac:dyDescent="0.25">
      <c r="C865" s="6" t="s">
        <v>7</v>
      </c>
      <c r="S865" s="9">
        <v>18480</v>
      </c>
      <c r="T865" s="9">
        <v>18480</v>
      </c>
      <c r="U865" s="9">
        <v>18480</v>
      </c>
      <c r="V865" s="9">
        <v>18480</v>
      </c>
      <c r="W865" s="9">
        <v>18480</v>
      </c>
      <c r="X865" s="9">
        <v>18480</v>
      </c>
      <c r="Y865" s="9">
        <v>18480</v>
      </c>
      <c r="Z865" s="9">
        <v>18480</v>
      </c>
      <c r="AA865" s="9">
        <v>18480</v>
      </c>
      <c r="AB865" s="9">
        <v>18480</v>
      </c>
      <c r="AC865" s="9">
        <v>18480</v>
      </c>
      <c r="AD865" s="25">
        <f>14087.04+18480</f>
        <v>32567.040000000001</v>
      </c>
      <c r="AE865" s="9">
        <f>SUM(S865:AD865)</f>
        <v>235847.04000000001</v>
      </c>
    </row>
    <row r="866" spans="1:31" ht="13.5" thickBot="1" x14ac:dyDescent="0.25">
      <c r="C866" s="10" t="s">
        <v>270</v>
      </c>
      <c r="S866" s="11">
        <f t="shared" ref="S866:AD866" si="203">SUM(S863:S865)</f>
        <v>18730</v>
      </c>
      <c r="T866" s="11">
        <f t="shared" si="203"/>
        <v>18480</v>
      </c>
      <c r="U866" s="11">
        <f t="shared" si="203"/>
        <v>18480</v>
      </c>
      <c r="V866" s="11">
        <f t="shared" si="203"/>
        <v>18480</v>
      </c>
      <c r="W866" s="11">
        <f t="shared" si="203"/>
        <v>18480</v>
      </c>
      <c r="X866" s="11">
        <f t="shared" si="203"/>
        <v>18480</v>
      </c>
      <c r="Y866" s="11">
        <f t="shared" si="203"/>
        <v>18480</v>
      </c>
      <c r="Z866" s="11">
        <f t="shared" si="203"/>
        <v>18480</v>
      </c>
      <c r="AA866" s="11">
        <f t="shared" si="203"/>
        <v>18480</v>
      </c>
      <c r="AB866" s="11">
        <f t="shared" si="203"/>
        <v>18480</v>
      </c>
      <c r="AC866" s="11">
        <f t="shared" si="203"/>
        <v>18480</v>
      </c>
      <c r="AD866" s="38">
        <f t="shared" si="203"/>
        <v>32567.040000000001</v>
      </c>
      <c r="AE866" s="11">
        <f>SUM(AE863:AE865)</f>
        <v>236097.04</v>
      </c>
    </row>
    <row r="867" spans="1:31" x14ac:dyDescent="0.2">
      <c r="C867" s="12"/>
    </row>
    <row r="868" spans="1:31" ht="15.75" x14ac:dyDescent="0.25">
      <c r="A868" s="15">
        <f>A862+1</f>
        <v>110</v>
      </c>
      <c r="C868" s="19" t="s">
        <v>281</v>
      </c>
    </row>
    <row r="869" spans="1:31" x14ac:dyDescent="0.2">
      <c r="C869" s="6" t="s">
        <v>5</v>
      </c>
      <c r="S869" s="9">
        <v>0</v>
      </c>
      <c r="T869" s="9">
        <v>0</v>
      </c>
      <c r="U869" s="9">
        <v>1052.5</v>
      </c>
      <c r="V869" s="9">
        <v>1052.5</v>
      </c>
      <c r="W869" s="9">
        <v>1052.5</v>
      </c>
      <c r="X869" s="9">
        <v>1052.5</v>
      </c>
      <c r="Y869" s="9">
        <v>1052.5</v>
      </c>
      <c r="Z869" s="9">
        <v>1052.5</v>
      </c>
      <c r="AA869" s="9">
        <v>1052.5</v>
      </c>
      <c r="AB869" s="9">
        <v>1052.5</v>
      </c>
      <c r="AC869" s="9">
        <v>1052.5</v>
      </c>
      <c r="AD869" s="25">
        <v>1052.5</v>
      </c>
      <c r="AE869" s="9">
        <f>SUM(S869:AD869)</f>
        <v>10525</v>
      </c>
    </row>
    <row r="870" spans="1:31" x14ac:dyDescent="0.2">
      <c r="C870" s="6" t="s">
        <v>6</v>
      </c>
      <c r="S870" s="20"/>
      <c r="U870" s="20">
        <v>208.33</v>
      </c>
      <c r="AE870" s="9">
        <f>SUM(S870:AD870)</f>
        <v>208.33</v>
      </c>
    </row>
    <row r="871" spans="1:31" ht="13.5" thickBot="1" x14ac:dyDescent="0.25">
      <c r="C871" s="6" t="s">
        <v>7</v>
      </c>
      <c r="S871" s="9">
        <v>0</v>
      </c>
      <c r="T871" s="9">
        <v>0</v>
      </c>
      <c r="U871" s="9">
        <v>61804.52</v>
      </c>
      <c r="V871" s="9">
        <v>61804.52</v>
      </c>
      <c r="W871" s="9">
        <f>18750+40307.29</f>
        <v>59057.29</v>
      </c>
      <c r="X871" s="9">
        <f t="shared" ref="X871:AD871" si="204">18750+40307.29</f>
        <v>59057.29</v>
      </c>
      <c r="Y871" s="9">
        <f t="shared" si="204"/>
        <v>59057.29</v>
      </c>
      <c r="Z871" s="9">
        <f t="shared" si="204"/>
        <v>59057.29</v>
      </c>
      <c r="AA871" s="9">
        <f t="shared" si="204"/>
        <v>59057.29</v>
      </c>
      <c r="AB871" s="9">
        <f t="shared" si="204"/>
        <v>59057.29</v>
      </c>
      <c r="AC871" s="9">
        <f t="shared" si="204"/>
        <v>59057.29</v>
      </c>
      <c r="AD871" s="25">
        <f t="shared" si="204"/>
        <v>59057.29</v>
      </c>
      <c r="AE871" s="9">
        <f>SUM(S871:AD871)</f>
        <v>596067.36</v>
      </c>
    </row>
    <row r="872" spans="1:31" ht="13.5" thickBot="1" x14ac:dyDescent="0.25">
      <c r="C872" s="10" t="s">
        <v>91</v>
      </c>
      <c r="S872" s="11">
        <f t="shared" ref="S872:AD872" si="205">SUM(S869:S871)</f>
        <v>0</v>
      </c>
      <c r="T872" s="11">
        <f t="shared" si="205"/>
        <v>0</v>
      </c>
      <c r="U872" s="11">
        <f t="shared" si="205"/>
        <v>63065.35</v>
      </c>
      <c r="V872" s="11">
        <f t="shared" si="205"/>
        <v>62857.02</v>
      </c>
      <c r="W872" s="11">
        <f t="shared" si="205"/>
        <v>60109.79</v>
      </c>
      <c r="X872" s="11">
        <f t="shared" si="205"/>
        <v>60109.79</v>
      </c>
      <c r="Y872" s="11">
        <f t="shared" si="205"/>
        <v>60109.79</v>
      </c>
      <c r="Z872" s="11">
        <f t="shared" si="205"/>
        <v>60109.79</v>
      </c>
      <c r="AA872" s="11">
        <f t="shared" si="205"/>
        <v>60109.79</v>
      </c>
      <c r="AB872" s="11">
        <f t="shared" si="205"/>
        <v>60109.79</v>
      </c>
      <c r="AC872" s="11">
        <f t="shared" si="205"/>
        <v>60109.79</v>
      </c>
      <c r="AD872" s="38">
        <f t="shared" si="205"/>
        <v>60109.79</v>
      </c>
      <c r="AE872" s="11">
        <f>SUM(AE869:AE871)</f>
        <v>606800.68999999994</v>
      </c>
    </row>
    <row r="873" spans="1:31" x14ac:dyDescent="0.2">
      <c r="C873" s="12"/>
    </row>
    <row r="874" spans="1:31" ht="15.75" x14ac:dyDescent="0.25">
      <c r="A874" s="1">
        <f>A868+1</f>
        <v>111</v>
      </c>
      <c r="B874" s="23" t="s">
        <v>139</v>
      </c>
      <c r="C874" s="19" t="s">
        <v>282</v>
      </c>
    </row>
    <row r="875" spans="1:31" ht="15" customHeight="1" x14ac:dyDescent="0.2">
      <c r="C875" s="6" t="s">
        <v>5</v>
      </c>
      <c r="S875" s="9">
        <v>0</v>
      </c>
      <c r="T875" s="9">
        <v>0</v>
      </c>
      <c r="U875" s="9">
        <v>0</v>
      </c>
      <c r="V875" s="9">
        <v>0</v>
      </c>
      <c r="W875" s="9">
        <v>0</v>
      </c>
      <c r="X875" s="9">
        <v>0</v>
      </c>
      <c r="Y875" s="9">
        <v>0</v>
      </c>
      <c r="Z875" s="9">
        <v>0</v>
      </c>
      <c r="AA875" s="9">
        <v>0</v>
      </c>
      <c r="AB875" s="9">
        <v>0</v>
      </c>
      <c r="AC875" s="9">
        <v>0</v>
      </c>
      <c r="AD875" s="25">
        <v>0</v>
      </c>
      <c r="AE875" s="9">
        <f>SUM(S875:AD875)</f>
        <v>0</v>
      </c>
    </row>
    <row r="876" spans="1:31" ht="15" customHeight="1" x14ac:dyDescent="0.2">
      <c r="C876" s="6" t="s">
        <v>6</v>
      </c>
      <c r="S876" s="20"/>
      <c r="U876" s="20">
        <v>61.94</v>
      </c>
      <c r="AE876" s="9">
        <f>SUM(S876:AD876)</f>
        <v>61.94</v>
      </c>
    </row>
    <row r="877" spans="1:31" ht="15" customHeight="1" thickBot="1" x14ac:dyDescent="0.25">
      <c r="C877" s="6" t="s">
        <v>7</v>
      </c>
      <c r="S877" s="9">
        <v>0</v>
      </c>
      <c r="T877" s="9">
        <v>0</v>
      </c>
      <c r="U877" s="9">
        <v>19008.32</v>
      </c>
      <c r="V877" s="9">
        <v>19008.32</v>
      </c>
      <c r="W877" s="9">
        <v>19008.32</v>
      </c>
      <c r="X877" s="9">
        <v>19008.32</v>
      </c>
      <c r="Y877" s="9">
        <v>19008.32</v>
      </c>
      <c r="Z877" s="9">
        <v>19008.32</v>
      </c>
      <c r="AA877" s="9">
        <v>19008.32</v>
      </c>
      <c r="AB877" s="9">
        <v>19008.32</v>
      </c>
      <c r="AC877" s="9">
        <v>19008.32</v>
      </c>
      <c r="AD877" s="25">
        <v>19008.330000000002</v>
      </c>
      <c r="AE877" s="9">
        <f>SUM(S877:AD877)</f>
        <v>190083.21000000002</v>
      </c>
    </row>
    <row r="878" spans="1:31" ht="13.5" thickBot="1" x14ac:dyDescent="0.25">
      <c r="C878" s="10" t="s">
        <v>141</v>
      </c>
      <c r="S878" s="11">
        <f t="shared" ref="S878:AD878" si="206">SUM(S875:S877)</f>
        <v>0</v>
      </c>
      <c r="T878" s="11">
        <f t="shared" si="206"/>
        <v>0</v>
      </c>
      <c r="U878" s="11">
        <f t="shared" si="206"/>
        <v>19070.259999999998</v>
      </c>
      <c r="V878" s="11">
        <f t="shared" si="206"/>
        <v>19008.32</v>
      </c>
      <c r="W878" s="11">
        <f t="shared" si="206"/>
        <v>19008.32</v>
      </c>
      <c r="X878" s="11">
        <f t="shared" si="206"/>
        <v>19008.32</v>
      </c>
      <c r="Y878" s="11">
        <f t="shared" si="206"/>
        <v>19008.32</v>
      </c>
      <c r="Z878" s="11">
        <f t="shared" si="206"/>
        <v>19008.32</v>
      </c>
      <c r="AA878" s="11">
        <f t="shared" si="206"/>
        <v>19008.32</v>
      </c>
      <c r="AB878" s="11">
        <f t="shared" si="206"/>
        <v>19008.32</v>
      </c>
      <c r="AC878" s="11">
        <f t="shared" si="206"/>
        <v>19008.32</v>
      </c>
      <c r="AD878" s="38">
        <f t="shared" si="206"/>
        <v>19008.330000000002</v>
      </c>
      <c r="AE878" s="11">
        <f>SUM(AE875:AE877)</f>
        <v>190145.15000000002</v>
      </c>
    </row>
    <row r="879" spans="1:31" x14ac:dyDescent="0.2">
      <c r="C879" s="12"/>
    </row>
    <row r="880" spans="1:31" ht="12.75" customHeight="1" x14ac:dyDescent="0.25">
      <c r="A880" s="1">
        <f>A874</f>
        <v>111</v>
      </c>
      <c r="B880" s="23" t="s">
        <v>142</v>
      </c>
      <c r="C880" s="19" t="s">
        <v>283</v>
      </c>
    </row>
    <row r="881" spans="1:31" x14ac:dyDescent="0.2">
      <c r="C881" s="6" t="s">
        <v>5</v>
      </c>
      <c r="S881" s="9">
        <v>0</v>
      </c>
      <c r="T881" s="9">
        <v>0</v>
      </c>
      <c r="U881" s="9">
        <v>0</v>
      </c>
      <c r="V881" s="9">
        <v>0</v>
      </c>
      <c r="W881" s="9">
        <v>0</v>
      </c>
      <c r="X881" s="9">
        <v>0</v>
      </c>
      <c r="Y881" s="9">
        <v>0</v>
      </c>
      <c r="Z881" s="9">
        <v>0</v>
      </c>
      <c r="AA881" s="9">
        <v>0</v>
      </c>
      <c r="AB881" s="9">
        <v>0</v>
      </c>
      <c r="AC881" s="9">
        <v>0</v>
      </c>
      <c r="AD881" s="25">
        <v>0</v>
      </c>
      <c r="AE881" s="9">
        <f>SUM(S881:AD881)</f>
        <v>0</v>
      </c>
    </row>
    <row r="882" spans="1:31" x14ac:dyDescent="0.2">
      <c r="C882" s="6" t="s">
        <v>6</v>
      </c>
      <c r="S882" s="20"/>
      <c r="U882" s="20">
        <v>64.75</v>
      </c>
      <c r="AE882" s="9">
        <f>SUM(S882:AD882)</f>
        <v>64.75</v>
      </c>
    </row>
    <row r="883" spans="1:31" ht="13.5" thickBot="1" x14ac:dyDescent="0.25">
      <c r="C883" s="6" t="s">
        <v>7</v>
      </c>
      <c r="S883" s="9">
        <v>0</v>
      </c>
      <c r="T883" s="9">
        <v>0</v>
      </c>
      <c r="U883" s="9">
        <v>19871.46</v>
      </c>
      <c r="V883" s="9">
        <v>19871.46</v>
      </c>
      <c r="W883" s="9">
        <v>19871.46</v>
      </c>
      <c r="X883" s="9">
        <v>19871.46</v>
      </c>
      <c r="Y883" s="9">
        <v>19871.46</v>
      </c>
      <c r="Z883" s="9">
        <v>19871.47</v>
      </c>
      <c r="AA883" s="9">
        <v>19871.47</v>
      </c>
      <c r="AB883" s="9">
        <v>19871.47</v>
      </c>
      <c r="AC883" s="9">
        <v>19871.47</v>
      </c>
      <c r="AD883" s="25">
        <v>19871.46</v>
      </c>
      <c r="AE883" s="9">
        <f>SUM(S883:AD883)</f>
        <v>198714.63999999998</v>
      </c>
    </row>
    <row r="884" spans="1:31" ht="13.5" thickBot="1" x14ac:dyDescent="0.25">
      <c r="C884" s="10" t="s">
        <v>144</v>
      </c>
      <c r="S884" s="11">
        <f t="shared" ref="S884:AD884" si="207">SUM(S881:S883)</f>
        <v>0</v>
      </c>
      <c r="T884" s="11">
        <f t="shared" si="207"/>
        <v>0</v>
      </c>
      <c r="U884" s="11">
        <f t="shared" si="207"/>
        <v>19936.21</v>
      </c>
      <c r="V884" s="11">
        <f t="shared" si="207"/>
        <v>19871.46</v>
      </c>
      <c r="W884" s="11">
        <f t="shared" si="207"/>
        <v>19871.46</v>
      </c>
      <c r="X884" s="11">
        <f t="shared" si="207"/>
        <v>19871.46</v>
      </c>
      <c r="Y884" s="11">
        <f t="shared" si="207"/>
        <v>19871.46</v>
      </c>
      <c r="Z884" s="11">
        <f t="shared" si="207"/>
        <v>19871.47</v>
      </c>
      <c r="AA884" s="11">
        <f t="shared" si="207"/>
        <v>19871.47</v>
      </c>
      <c r="AB884" s="11">
        <f t="shared" si="207"/>
        <v>19871.47</v>
      </c>
      <c r="AC884" s="11">
        <f t="shared" si="207"/>
        <v>19871.47</v>
      </c>
      <c r="AD884" s="38">
        <f t="shared" si="207"/>
        <v>19871.46</v>
      </c>
      <c r="AE884" s="11">
        <f>SUM(AE881:AE883)</f>
        <v>198779.38999999998</v>
      </c>
    </row>
    <row r="885" spans="1:31" x14ac:dyDescent="0.2">
      <c r="C885" s="12"/>
    </row>
    <row r="886" spans="1:31" ht="15.75" x14ac:dyDescent="0.25">
      <c r="A886" s="1">
        <f>A874</f>
        <v>111</v>
      </c>
      <c r="B886" s="23" t="s">
        <v>145</v>
      </c>
      <c r="C886" s="19" t="s">
        <v>284</v>
      </c>
    </row>
    <row r="887" spans="1:31" x14ac:dyDescent="0.2">
      <c r="C887" s="6" t="s">
        <v>5</v>
      </c>
      <c r="S887" s="9">
        <v>0</v>
      </c>
      <c r="T887" s="9">
        <v>0</v>
      </c>
      <c r="U887" s="9">
        <v>0</v>
      </c>
      <c r="V887" s="9">
        <v>0</v>
      </c>
      <c r="W887" s="9">
        <v>0</v>
      </c>
      <c r="X887" s="9">
        <v>0</v>
      </c>
      <c r="Y887" s="9">
        <v>0</v>
      </c>
      <c r="Z887" s="9">
        <v>0</v>
      </c>
      <c r="AA887" s="9">
        <v>0</v>
      </c>
      <c r="AB887" s="9">
        <v>0</v>
      </c>
      <c r="AC887" s="9">
        <v>0</v>
      </c>
      <c r="AD887" s="25">
        <v>0</v>
      </c>
      <c r="AE887" s="9">
        <f>SUM(S887:AD887)</f>
        <v>0</v>
      </c>
    </row>
    <row r="888" spans="1:31" x14ac:dyDescent="0.2">
      <c r="C888" s="6" t="s">
        <v>6</v>
      </c>
      <c r="S888" s="20"/>
      <c r="U888" s="20">
        <v>81.64</v>
      </c>
      <c r="AE888" s="9">
        <f>SUM(S888:AD888)</f>
        <v>81.64</v>
      </c>
    </row>
    <row r="889" spans="1:31" ht="13.5" thickBot="1" x14ac:dyDescent="0.25">
      <c r="C889" s="6" t="s">
        <v>7</v>
      </c>
      <c r="S889" s="9">
        <v>0</v>
      </c>
      <c r="T889" s="9">
        <v>0</v>
      </c>
      <c r="U889" s="9">
        <v>25056.720000000001</v>
      </c>
      <c r="V889" s="9">
        <v>25056.720000000001</v>
      </c>
      <c r="W889" s="9">
        <v>25056.720000000001</v>
      </c>
      <c r="X889" s="9">
        <v>25056.720000000001</v>
      </c>
      <c r="Y889" s="9">
        <v>25056.720000000001</v>
      </c>
      <c r="Z889" s="9">
        <v>25056.71</v>
      </c>
      <c r="AA889" s="9">
        <v>25056.71</v>
      </c>
      <c r="AB889" s="9">
        <v>25056.71</v>
      </c>
      <c r="AC889" s="9">
        <v>25056.71</v>
      </c>
      <c r="AD889" s="25">
        <v>25056.71</v>
      </c>
      <c r="AE889" s="9">
        <f>SUM(S889:AD889)</f>
        <v>250567.14999999997</v>
      </c>
    </row>
    <row r="890" spans="1:31" ht="13.5" thickBot="1" x14ac:dyDescent="0.25">
      <c r="C890" s="10" t="s">
        <v>147</v>
      </c>
      <c r="S890" s="11">
        <f t="shared" ref="S890:AD890" si="208">SUM(S887:S889)</f>
        <v>0</v>
      </c>
      <c r="T890" s="11">
        <f t="shared" si="208"/>
        <v>0</v>
      </c>
      <c r="U890" s="11">
        <f t="shared" si="208"/>
        <v>25138.36</v>
      </c>
      <c r="V890" s="11">
        <f t="shared" si="208"/>
        <v>25056.720000000001</v>
      </c>
      <c r="W890" s="11">
        <f t="shared" si="208"/>
        <v>25056.720000000001</v>
      </c>
      <c r="X890" s="11">
        <f t="shared" si="208"/>
        <v>25056.720000000001</v>
      </c>
      <c r="Y890" s="11">
        <f t="shared" si="208"/>
        <v>25056.720000000001</v>
      </c>
      <c r="Z890" s="11">
        <f t="shared" si="208"/>
        <v>25056.71</v>
      </c>
      <c r="AA890" s="11">
        <f t="shared" si="208"/>
        <v>25056.71</v>
      </c>
      <c r="AB890" s="11">
        <f t="shared" si="208"/>
        <v>25056.71</v>
      </c>
      <c r="AC890" s="11">
        <f t="shared" si="208"/>
        <v>25056.71</v>
      </c>
      <c r="AD890" s="38">
        <f t="shared" si="208"/>
        <v>25056.71</v>
      </c>
      <c r="AE890" s="11">
        <f>SUM(AE887:AE889)</f>
        <v>250648.78999999998</v>
      </c>
    </row>
    <row r="891" spans="1:31" x14ac:dyDescent="0.2">
      <c r="C891" s="12"/>
    </row>
    <row r="892" spans="1:31" ht="15.75" x14ac:dyDescent="0.25">
      <c r="A892" s="1">
        <f>A874+1</f>
        <v>112</v>
      </c>
      <c r="B892" s="23"/>
      <c r="C892" s="19" t="s">
        <v>285</v>
      </c>
    </row>
    <row r="893" spans="1:31" x14ac:dyDescent="0.2">
      <c r="C893" s="6" t="s">
        <v>5</v>
      </c>
      <c r="S893" s="9">
        <v>0</v>
      </c>
      <c r="T893" s="9">
        <v>0</v>
      </c>
      <c r="U893" s="9">
        <v>0</v>
      </c>
      <c r="V893" s="9">
        <v>0</v>
      </c>
      <c r="W893" s="9">
        <v>0</v>
      </c>
      <c r="X893" s="9">
        <v>0</v>
      </c>
      <c r="Y893" s="9">
        <v>0</v>
      </c>
      <c r="Z893" s="9">
        <v>0</v>
      </c>
      <c r="AA893" s="9">
        <v>0</v>
      </c>
      <c r="AB893" s="9">
        <v>0</v>
      </c>
      <c r="AC893" s="9">
        <v>0</v>
      </c>
      <c r="AD893" s="25">
        <v>0</v>
      </c>
      <c r="AE893" s="9">
        <f>SUM(S893:AD893)</f>
        <v>0</v>
      </c>
    </row>
    <row r="894" spans="1:31" x14ac:dyDescent="0.2">
      <c r="C894" s="6" t="s">
        <v>6</v>
      </c>
      <c r="S894" s="20"/>
      <c r="U894" s="20">
        <v>208.33</v>
      </c>
      <c r="AE894" s="9">
        <f>SUM(S894:AD894)</f>
        <v>208.33</v>
      </c>
    </row>
    <row r="895" spans="1:31" ht="12.4" customHeight="1" thickBot="1" x14ac:dyDescent="0.25">
      <c r="C895" s="6" t="s">
        <v>7</v>
      </c>
      <c r="S895" s="9">
        <v>0</v>
      </c>
      <c r="T895" s="9">
        <v>0</v>
      </c>
      <c r="U895" s="9">
        <v>21313</v>
      </c>
      <c r="V895" s="9">
        <v>21313</v>
      </c>
      <c r="W895" s="9">
        <v>21313</v>
      </c>
      <c r="X895" s="9">
        <v>21313</v>
      </c>
      <c r="Y895" s="9">
        <v>21313</v>
      </c>
      <c r="Z895" s="9">
        <v>21313</v>
      </c>
      <c r="AA895" s="9">
        <v>21313</v>
      </c>
      <c r="AB895" s="9">
        <v>21313</v>
      </c>
      <c r="AC895" s="9">
        <v>21313</v>
      </c>
      <c r="AD895" s="25">
        <v>21313</v>
      </c>
      <c r="AE895" s="9">
        <f>SUM(S895:AD895)</f>
        <v>213130</v>
      </c>
    </row>
    <row r="896" spans="1:31" ht="13.5" thickBot="1" x14ac:dyDescent="0.25">
      <c r="C896" s="10" t="s">
        <v>149</v>
      </c>
      <c r="S896" s="11">
        <f t="shared" ref="S896:AD896" si="209">SUM(S893:S895)</f>
        <v>0</v>
      </c>
      <c r="T896" s="11">
        <f t="shared" si="209"/>
        <v>0</v>
      </c>
      <c r="U896" s="11">
        <f t="shared" si="209"/>
        <v>21521.33</v>
      </c>
      <c r="V896" s="11">
        <f t="shared" si="209"/>
        <v>21313</v>
      </c>
      <c r="W896" s="11">
        <f t="shared" si="209"/>
        <v>21313</v>
      </c>
      <c r="X896" s="11">
        <f t="shared" si="209"/>
        <v>21313</v>
      </c>
      <c r="Y896" s="11">
        <f t="shared" si="209"/>
        <v>21313</v>
      </c>
      <c r="Z896" s="11">
        <f t="shared" si="209"/>
        <v>21313</v>
      </c>
      <c r="AA896" s="11">
        <f t="shared" si="209"/>
        <v>21313</v>
      </c>
      <c r="AB896" s="11">
        <f t="shared" si="209"/>
        <v>21313</v>
      </c>
      <c r="AC896" s="11">
        <f t="shared" si="209"/>
        <v>21313</v>
      </c>
      <c r="AD896" s="38">
        <f t="shared" si="209"/>
        <v>21313</v>
      </c>
      <c r="AE896" s="11">
        <f>SUM(AE893:AE895)</f>
        <v>213338.33</v>
      </c>
    </row>
    <row r="897" spans="1:31" x14ac:dyDescent="0.2">
      <c r="C897" s="12"/>
    </row>
    <row r="898" spans="1:31" ht="15.75" x14ac:dyDescent="0.25">
      <c r="A898" s="15">
        <f>A892+1</f>
        <v>113</v>
      </c>
      <c r="C898" s="19" t="s">
        <v>286</v>
      </c>
    </row>
    <row r="899" spans="1:31" x14ac:dyDescent="0.2">
      <c r="C899" s="6" t="s">
        <v>5</v>
      </c>
      <c r="S899" s="9">
        <v>0</v>
      </c>
      <c r="T899" s="9">
        <v>0</v>
      </c>
      <c r="U899" s="9">
        <v>0</v>
      </c>
      <c r="V899" s="9">
        <v>0</v>
      </c>
      <c r="W899" s="9">
        <v>0</v>
      </c>
      <c r="X899" s="9">
        <v>0</v>
      </c>
      <c r="Y899" s="9">
        <v>0</v>
      </c>
      <c r="Z899" s="9">
        <v>0</v>
      </c>
      <c r="AA899" s="9">
        <v>0</v>
      </c>
      <c r="AB899" s="9">
        <v>0</v>
      </c>
      <c r="AC899" s="9">
        <v>0</v>
      </c>
      <c r="AD899" s="25">
        <v>0</v>
      </c>
      <c r="AE899" s="9">
        <f>SUM(S899:AD899)</f>
        <v>0</v>
      </c>
    </row>
    <row r="900" spans="1:31" x14ac:dyDescent="0.2">
      <c r="C900" s="6" t="s">
        <v>6</v>
      </c>
      <c r="S900" s="20"/>
      <c r="U900" s="20">
        <v>208.33</v>
      </c>
      <c r="AE900" s="9">
        <f>SUM(S900:AD900)</f>
        <v>208.33</v>
      </c>
    </row>
    <row r="901" spans="1:31" ht="13.5" thickBot="1" x14ac:dyDescent="0.25">
      <c r="C901" s="6" t="s">
        <v>7</v>
      </c>
      <c r="S901" s="9">
        <v>0</v>
      </c>
      <c r="T901" s="9">
        <v>0</v>
      </c>
      <c r="U901" s="9">
        <v>21313</v>
      </c>
      <c r="V901" s="9">
        <v>21313</v>
      </c>
      <c r="W901" s="9">
        <v>21313</v>
      </c>
      <c r="X901" s="9">
        <v>21313</v>
      </c>
      <c r="Y901" s="9">
        <v>21313</v>
      </c>
      <c r="Z901" s="9">
        <v>21313</v>
      </c>
      <c r="AA901" s="9">
        <v>21313</v>
      </c>
      <c r="AB901" s="9">
        <v>21313</v>
      </c>
      <c r="AC901" s="9">
        <v>21313</v>
      </c>
      <c r="AD901" s="25">
        <v>21313</v>
      </c>
      <c r="AE901" s="9">
        <f>SUM(S901:AD901)</f>
        <v>213130</v>
      </c>
    </row>
    <row r="902" spans="1:31" ht="13.5" thickBot="1" x14ac:dyDescent="0.25">
      <c r="C902" s="10" t="s">
        <v>151</v>
      </c>
      <c r="S902" s="11">
        <f t="shared" ref="S902:AD902" si="210">SUM(S899:S901)</f>
        <v>0</v>
      </c>
      <c r="T902" s="11">
        <f t="shared" si="210"/>
        <v>0</v>
      </c>
      <c r="U902" s="11">
        <f t="shared" si="210"/>
        <v>21521.33</v>
      </c>
      <c r="V902" s="11">
        <f t="shared" si="210"/>
        <v>21313</v>
      </c>
      <c r="W902" s="11">
        <f t="shared" si="210"/>
        <v>21313</v>
      </c>
      <c r="X902" s="11">
        <f t="shared" si="210"/>
        <v>21313</v>
      </c>
      <c r="Y902" s="11">
        <f t="shared" si="210"/>
        <v>21313</v>
      </c>
      <c r="Z902" s="11">
        <f t="shared" si="210"/>
        <v>21313</v>
      </c>
      <c r="AA902" s="11">
        <f t="shared" si="210"/>
        <v>21313</v>
      </c>
      <c r="AB902" s="11">
        <f t="shared" si="210"/>
        <v>21313</v>
      </c>
      <c r="AC902" s="11">
        <f t="shared" si="210"/>
        <v>21313</v>
      </c>
      <c r="AD902" s="38">
        <f t="shared" si="210"/>
        <v>21313</v>
      </c>
      <c r="AE902" s="11">
        <f>SUM(AE899:AE901)</f>
        <v>213338.33</v>
      </c>
    </row>
    <row r="903" spans="1:31" x14ac:dyDescent="0.2">
      <c r="C903" s="12"/>
    </row>
    <row r="904" spans="1:31" ht="15.75" x14ac:dyDescent="0.25">
      <c r="A904" s="15">
        <f>A898+1</f>
        <v>114</v>
      </c>
      <c r="C904" s="19" t="s">
        <v>287</v>
      </c>
    </row>
    <row r="905" spans="1:31" x14ac:dyDescent="0.2">
      <c r="C905" s="6" t="s">
        <v>5</v>
      </c>
      <c r="S905" s="9">
        <v>0</v>
      </c>
      <c r="T905" s="9">
        <v>0</v>
      </c>
      <c r="U905" s="9">
        <v>0</v>
      </c>
      <c r="V905" s="9">
        <v>0</v>
      </c>
      <c r="W905" s="9">
        <v>0</v>
      </c>
      <c r="X905" s="9">
        <v>0</v>
      </c>
      <c r="Y905" s="9">
        <v>0</v>
      </c>
      <c r="Z905" s="9">
        <v>0</v>
      </c>
      <c r="AA905" s="9">
        <v>0</v>
      </c>
      <c r="AB905" s="9">
        <v>0</v>
      </c>
      <c r="AC905" s="9">
        <v>0</v>
      </c>
      <c r="AD905" s="25">
        <v>0</v>
      </c>
      <c r="AE905" s="9">
        <f>SUM(S905:AD905)</f>
        <v>0</v>
      </c>
    </row>
    <row r="906" spans="1:31" x14ac:dyDescent="0.2">
      <c r="C906" s="6" t="s">
        <v>6</v>
      </c>
      <c r="S906" s="20"/>
      <c r="U906" s="20"/>
      <c r="X906" s="20">
        <v>145.83000000000001</v>
      </c>
      <c r="AE906" s="9">
        <f>SUM(S906:AD906)</f>
        <v>145.83000000000001</v>
      </c>
    </row>
    <row r="907" spans="1:31" ht="13.5" thickBot="1" x14ac:dyDescent="0.25">
      <c r="C907" s="6" t="s">
        <v>7</v>
      </c>
      <c r="S907" s="9">
        <v>0</v>
      </c>
      <c r="T907" s="9">
        <v>0</v>
      </c>
      <c r="U907" s="9">
        <v>0</v>
      </c>
      <c r="V907" s="9">
        <v>0</v>
      </c>
      <c r="W907" s="9">
        <v>0</v>
      </c>
      <c r="X907" s="9">
        <v>0</v>
      </c>
      <c r="Y907" s="9">
        <v>0</v>
      </c>
      <c r="Z907" s="9">
        <v>0</v>
      </c>
      <c r="AA907" s="9">
        <v>0</v>
      </c>
      <c r="AB907" s="9">
        <v>0</v>
      </c>
      <c r="AC907" s="9">
        <v>0</v>
      </c>
      <c r="AD907" s="25">
        <v>0</v>
      </c>
      <c r="AE907" s="9">
        <f>SUM(S907:AD907)</f>
        <v>0</v>
      </c>
    </row>
    <row r="908" spans="1:31" ht="13.5" thickBot="1" x14ac:dyDescent="0.25">
      <c r="C908" s="10" t="s">
        <v>288</v>
      </c>
      <c r="S908" s="11">
        <f t="shared" ref="S908:AD908" si="211">SUM(S905:S907)</f>
        <v>0</v>
      </c>
      <c r="T908" s="11">
        <f t="shared" si="211"/>
        <v>0</v>
      </c>
      <c r="U908" s="11">
        <f t="shared" si="211"/>
        <v>0</v>
      </c>
      <c r="V908" s="11">
        <f t="shared" si="211"/>
        <v>0</v>
      </c>
      <c r="W908" s="11">
        <f t="shared" si="211"/>
        <v>0</v>
      </c>
      <c r="X908" s="11">
        <f t="shared" si="211"/>
        <v>145.83000000000001</v>
      </c>
      <c r="Y908" s="11">
        <f t="shared" si="211"/>
        <v>0</v>
      </c>
      <c r="Z908" s="11">
        <f t="shared" si="211"/>
        <v>0</v>
      </c>
      <c r="AA908" s="11">
        <f t="shared" si="211"/>
        <v>0</v>
      </c>
      <c r="AB908" s="11">
        <f t="shared" si="211"/>
        <v>0</v>
      </c>
      <c r="AC908" s="11">
        <f t="shared" si="211"/>
        <v>0</v>
      </c>
      <c r="AD908" s="38">
        <f t="shared" si="211"/>
        <v>0</v>
      </c>
      <c r="AE908" s="11">
        <f>SUM(AE905:AE907)</f>
        <v>145.83000000000001</v>
      </c>
    </row>
    <row r="909" spans="1:31" x14ac:dyDescent="0.2">
      <c r="C909" s="12"/>
    </row>
    <row r="910" spans="1:31" ht="15.75" x14ac:dyDescent="0.25">
      <c r="A910" s="15">
        <f>A904+1</f>
        <v>115</v>
      </c>
      <c r="C910" s="19" t="s">
        <v>289</v>
      </c>
    </row>
    <row r="911" spans="1:31" x14ac:dyDescent="0.2">
      <c r="C911" s="6" t="s">
        <v>5</v>
      </c>
      <c r="S911" s="9">
        <v>0</v>
      </c>
      <c r="T911" s="9">
        <v>0</v>
      </c>
      <c r="U911" s="9">
        <v>0</v>
      </c>
      <c r="V911" s="9">
        <v>0</v>
      </c>
      <c r="W911" s="9">
        <v>0</v>
      </c>
      <c r="X911" s="9">
        <v>0</v>
      </c>
      <c r="Y911" s="9">
        <v>0</v>
      </c>
      <c r="Z911" s="9">
        <v>0</v>
      </c>
      <c r="AA911" s="9">
        <v>0</v>
      </c>
      <c r="AB911" s="9">
        <v>0</v>
      </c>
      <c r="AC911" s="9">
        <v>0</v>
      </c>
      <c r="AD911" s="25">
        <v>0</v>
      </c>
      <c r="AE911" s="9">
        <f>SUM(S911:AD911)</f>
        <v>0</v>
      </c>
    </row>
    <row r="912" spans="1:31" x14ac:dyDescent="0.2">
      <c r="C912" s="6" t="s">
        <v>6</v>
      </c>
      <c r="S912" s="20"/>
      <c r="U912" s="20"/>
      <c r="X912" s="20">
        <v>145.83000000000001</v>
      </c>
      <c r="AE912" s="9">
        <f>SUM(S912:AD912)</f>
        <v>145.83000000000001</v>
      </c>
    </row>
    <row r="913" spans="1:31" ht="13.5" thickBot="1" x14ac:dyDescent="0.25">
      <c r="C913" s="6" t="s">
        <v>7</v>
      </c>
      <c r="S913" s="9">
        <v>0</v>
      </c>
      <c r="T913" s="9">
        <v>0</v>
      </c>
      <c r="U913" s="9">
        <v>0</v>
      </c>
      <c r="V913" s="9">
        <v>0</v>
      </c>
      <c r="W913" s="9">
        <v>0</v>
      </c>
      <c r="X913" s="9">
        <v>81600.67</v>
      </c>
      <c r="Y913" s="9">
        <v>45843.23</v>
      </c>
      <c r="Z913" s="9">
        <v>45843.23</v>
      </c>
      <c r="AA913" s="9">
        <v>45843.23</v>
      </c>
      <c r="AB913" s="9">
        <v>45843.23</v>
      </c>
      <c r="AC913" s="9">
        <v>45843.23</v>
      </c>
      <c r="AD913" s="25">
        <v>45843.22</v>
      </c>
      <c r="AE913" s="9">
        <f>SUM(S913:AD913)</f>
        <v>356660.04000000004</v>
      </c>
    </row>
    <row r="914" spans="1:31" ht="13.5" thickBot="1" x14ac:dyDescent="0.25">
      <c r="C914" s="10" t="s">
        <v>164</v>
      </c>
      <c r="S914" s="11">
        <f t="shared" ref="S914:AD914" si="212">SUM(S911:S913)</f>
        <v>0</v>
      </c>
      <c r="T914" s="11">
        <f t="shared" si="212"/>
        <v>0</v>
      </c>
      <c r="U914" s="11">
        <f t="shared" si="212"/>
        <v>0</v>
      </c>
      <c r="V914" s="11">
        <f t="shared" si="212"/>
        <v>0</v>
      </c>
      <c r="W914" s="11">
        <f t="shared" si="212"/>
        <v>0</v>
      </c>
      <c r="X914" s="11">
        <f t="shared" si="212"/>
        <v>81746.5</v>
      </c>
      <c r="Y914" s="11">
        <f t="shared" si="212"/>
        <v>45843.23</v>
      </c>
      <c r="Z914" s="11">
        <f t="shared" si="212"/>
        <v>45843.23</v>
      </c>
      <c r="AA914" s="11">
        <f t="shared" si="212"/>
        <v>45843.23</v>
      </c>
      <c r="AB914" s="11">
        <f t="shared" si="212"/>
        <v>45843.23</v>
      </c>
      <c r="AC914" s="11">
        <f t="shared" si="212"/>
        <v>45843.23</v>
      </c>
      <c r="AD914" s="38">
        <f t="shared" si="212"/>
        <v>45843.22</v>
      </c>
      <c r="AE914" s="11">
        <f>SUM(AE911:AE913)</f>
        <v>356805.87000000005</v>
      </c>
    </row>
    <row r="915" spans="1:31" x14ac:dyDescent="0.2">
      <c r="C915" s="12"/>
    </row>
    <row r="916" spans="1:31" ht="15.75" x14ac:dyDescent="0.25">
      <c r="A916" s="15">
        <f>A910+1</f>
        <v>116</v>
      </c>
      <c r="C916" s="19" t="s">
        <v>290</v>
      </c>
    </row>
    <row r="917" spans="1:31" x14ac:dyDescent="0.2">
      <c r="C917" s="6" t="s">
        <v>5</v>
      </c>
      <c r="S917" s="9">
        <v>0</v>
      </c>
      <c r="T917" s="9">
        <v>0</v>
      </c>
      <c r="U917" s="9">
        <v>0</v>
      </c>
      <c r="V917" s="9">
        <v>0</v>
      </c>
      <c r="W917" s="9">
        <v>0</v>
      </c>
      <c r="X917" s="9">
        <v>2774.55</v>
      </c>
      <c r="Y917" s="9">
        <v>1387.27</v>
      </c>
      <c r="Z917" s="9">
        <v>1387.27</v>
      </c>
      <c r="AA917" s="9">
        <v>1387.27</v>
      </c>
      <c r="AB917" s="9">
        <v>1387.27</v>
      </c>
      <c r="AC917" s="9">
        <v>1387.27</v>
      </c>
      <c r="AD917" s="25">
        <v>1387.27</v>
      </c>
      <c r="AE917" s="9">
        <f>SUM(S917:AD917)</f>
        <v>11098.170000000002</v>
      </c>
    </row>
    <row r="918" spans="1:31" x14ac:dyDescent="0.2">
      <c r="C918" s="6" t="s">
        <v>6</v>
      </c>
      <c r="S918" s="20"/>
      <c r="U918" s="20"/>
      <c r="X918" s="20">
        <v>145.83000000000001</v>
      </c>
      <c r="AE918" s="9">
        <f>SUM(S918:AD918)</f>
        <v>145.83000000000001</v>
      </c>
    </row>
    <row r="919" spans="1:31" ht="13.5" thickBot="1" x14ac:dyDescent="0.25">
      <c r="C919" s="6" t="s">
        <v>7</v>
      </c>
      <c r="S919" s="9">
        <v>0</v>
      </c>
      <c r="T919" s="9">
        <v>0</v>
      </c>
      <c r="U919" s="9">
        <v>0</v>
      </c>
      <c r="V919" s="9">
        <v>0</v>
      </c>
      <c r="W919" s="9">
        <v>0</v>
      </c>
      <c r="X919" s="9">
        <v>69900.78</v>
      </c>
      <c r="Y919" s="9">
        <v>69900.78</v>
      </c>
      <c r="Z919" s="9">
        <v>69900.78</v>
      </c>
      <c r="AA919" s="9">
        <v>69900.78</v>
      </c>
      <c r="AB919" s="9">
        <v>69900.78</v>
      </c>
      <c r="AC919" s="9">
        <v>69900.75</v>
      </c>
      <c r="AD919" s="25">
        <v>69514.58</v>
      </c>
      <c r="AE919" s="9">
        <f>SUM(S919:AD919)</f>
        <v>488919.23000000004</v>
      </c>
    </row>
    <row r="920" spans="1:31" ht="13.5" thickBot="1" x14ac:dyDescent="0.25">
      <c r="C920" s="10" t="s">
        <v>118</v>
      </c>
      <c r="S920" s="11">
        <f t="shared" ref="S920:AD920" si="213">SUM(S917:S919)</f>
        <v>0</v>
      </c>
      <c r="T920" s="11">
        <f t="shared" si="213"/>
        <v>0</v>
      </c>
      <c r="U920" s="11">
        <f t="shared" si="213"/>
        <v>0</v>
      </c>
      <c r="V920" s="11">
        <f t="shared" si="213"/>
        <v>0</v>
      </c>
      <c r="W920" s="11">
        <f t="shared" si="213"/>
        <v>0</v>
      </c>
      <c r="X920" s="11">
        <f t="shared" si="213"/>
        <v>72821.16</v>
      </c>
      <c r="Y920" s="11">
        <f t="shared" si="213"/>
        <v>71288.05</v>
      </c>
      <c r="Z920" s="11">
        <f t="shared" si="213"/>
        <v>71288.05</v>
      </c>
      <c r="AA920" s="11">
        <f t="shared" si="213"/>
        <v>71288.05</v>
      </c>
      <c r="AB920" s="11">
        <f t="shared" si="213"/>
        <v>71288.05</v>
      </c>
      <c r="AC920" s="11">
        <f t="shared" si="213"/>
        <v>71288.02</v>
      </c>
      <c r="AD920" s="38">
        <f t="shared" si="213"/>
        <v>70901.850000000006</v>
      </c>
      <c r="AE920" s="11">
        <f>SUM(AE917:AE919)</f>
        <v>500163.23000000004</v>
      </c>
    </row>
    <row r="921" spans="1:31" x14ac:dyDescent="0.2">
      <c r="C921" s="12"/>
    </row>
    <row r="922" spans="1:31" ht="15.75" x14ac:dyDescent="0.25">
      <c r="A922" s="1">
        <f>A916+1</f>
        <v>117</v>
      </c>
      <c r="C922" s="19" t="s">
        <v>292</v>
      </c>
    </row>
    <row r="923" spans="1:31" x14ac:dyDescent="0.2">
      <c r="C923" s="6" t="s">
        <v>5</v>
      </c>
      <c r="S923" s="9">
        <v>0</v>
      </c>
      <c r="T923" s="9">
        <v>0</v>
      </c>
      <c r="U923" s="9">
        <v>0</v>
      </c>
      <c r="V923" s="9">
        <v>0</v>
      </c>
      <c r="W923" s="9">
        <v>0</v>
      </c>
      <c r="X923" s="9">
        <v>0</v>
      </c>
      <c r="Y923" s="9">
        <v>0</v>
      </c>
      <c r="Z923" s="9">
        <v>0</v>
      </c>
      <c r="AA923" s="9">
        <v>0</v>
      </c>
      <c r="AB923" s="20">
        <v>3414.09</v>
      </c>
      <c r="AC923" s="20">
        <v>3414.09</v>
      </c>
      <c r="AD923" s="37">
        <v>3414.09</v>
      </c>
      <c r="AE923" s="9">
        <f>SUM(S923:AD923)</f>
        <v>10242.27</v>
      </c>
    </row>
    <row r="924" spans="1:31" x14ac:dyDescent="0.2">
      <c r="C924" s="6" t="s">
        <v>6</v>
      </c>
      <c r="S924" s="20"/>
      <c r="T924" s="20"/>
      <c r="U924" s="20"/>
      <c r="V924" s="20"/>
      <c r="W924" s="20"/>
      <c r="X924" s="20"/>
      <c r="Y924" s="20"/>
      <c r="Z924" s="20"/>
      <c r="AA924" s="20"/>
      <c r="AB924" s="20">
        <v>62.5</v>
      </c>
      <c r="AC924" s="20"/>
      <c r="AD924" s="37"/>
      <c r="AE924" s="9">
        <f>SUM(S924:AD924)</f>
        <v>62.5</v>
      </c>
    </row>
    <row r="925" spans="1:31" ht="13.5" thickBot="1" x14ac:dyDescent="0.25">
      <c r="C925" s="6" t="s">
        <v>7</v>
      </c>
      <c r="S925" s="9">
        <v>0</v>
      </c>
      <c r="T925" s="9">
        <v>0</v>
      </c>
      <c r="U925" s="9">
        <v>0</v>
      </c>
      <c r="V925" s="9">
        <v>0</v>
      </c>
      <c r="W925" s="9">
        <v>0</v>
      </c>
      <c r="X925" s="9">
        <v>0</v>
      </c>
      <c r="Y925" s="9">
        <v>0</v>
      </c>
      <c r="Z925" s="9">
        <v>0</v>
      </c>
      <c r="AA925" s="9">
        <v>0</v>
      </c>
      <c r="AB925" s="20">
        <v>0</v>
      </c>
      <c r="AC925" s="20">
        <v>0</v>
      </c>
      <c r="AD925" s="37">
        <v>0</v>
      </c>
      <c r="AE925" s="9">
        <f>SUM(S925:AD925)</f>
        <v>0</v>
      </c>
    </row>
    <row r="926" spans="1:31" ht="13.5" thickBot="1" x14ac:dyDescent="0.25">
      <c r="C926" s="10" t="s">
        <v>155</v>
      </c>
      <c r="S926" s="11">
        <f t="shared" ref="S926:AA926" si="214">SUM(S923:S925)</f>
        <v>0</v>
      </c>
      <c r="T926" s="11">
        <f t="shared" si="214"/>
        <v>0</v>
      </c>
      <c r="U926" s="11">
        <f t="shared" si="214"/>
        <v>0</v>
      </c>
      <c r="V926" s="11">
        <f t="shared" si="214"/>
        <v>0</v>
      </c>
      <c r="W926" s="11">
        <f t="shared" si="214"/>
        <v>0</v>
      </c>
      <c r="X926" s="11">
        <f t="shared" si="214"/>
        <v>0</v>
      </c>
      <c r="Y926" s="11">
        <f t="shared" si="214"/>
        <v>0</v>
      </c>
      <c r="Z926" s="11">
        <f t="shared" si="214"/>
        <v>0</v>
      </c>
      <c r="AA926" s="11">
        <f t="shared" si="214"/>
        <v>0</v>
      </c>
      <c r="AB926" s="11">
        <f t="shared" ref="AB926:AE926" si="215">SUM(AB923:AB925)</f>
        <v>3476.59</v>
      </c>
      <c r="AC926" s="11">
        <f t="shared" si="215"/>
        <v>3414.09</v>
      </c>
      <c r="AD926" s="38">
        <f t="shared" si="215"/>
        <v>3414.09</v>
      </c>
      <c r="AE926" s="11">
        <f t="shared" si="215"/>
        <v>10304.77</v>
      </c>
    </row>
    <row r="927" spans="1:31" x14ac:dyDescent="0.2">
      <c r="C927" s="12"/>
    </row>
    <row r="928" spans="1:31" ht="15.75" x14ac:dyDescent="0.25">
      <c r="A928" s="1">
        <f>A922+1</f>
        <v>118</v>
      </c>
      <c r="C928" s="19" t="s">
        <v>293</v>
      </c>
    </row>
    <row r="929" spans="2:31" x14ac:dyDescent="0.2">
      <c r="C929" s="6" t="s">
        <v>5</v>
      </c>
      <c r="S929" s="9">
        <v>0</v>
      </c>
      <c r="T929" s="9">
        <v>0</v>
      </c>
      <c r="U929" s="9">
        <v>0</v>
      </c>
      <c r="V929" s="9">
        <v>0</v>
      </c>
      <c r="W929" s="9">
        <v>0</v>
      </c>
      <c r="X929" s="9">
        <v>0</v>
      </c>
      <c r="Y929" s="9">
        <v>0</v>
      </c>
      <c r="Z929" s="9">
        <v>0</v>
      </c>
      <c r="AA929" s="9">
        <v>0</v>
      </c>
      <c r="AB929" s="9">
        <v>0</v>
      </c>
      <c r="AC929" s="9">
        <v>0</v>
      </c>
      <c r="AD929" s="25">
        <v>0</v>
      </c>
      <c r="AE929" s="9">
        <f>SUM(S929:AD929)</f>
        <v>0</v>
      </c>
    </row>
    <row r="930" spans="2:31" x14ac:dyDescent="0.2">
      <c r="C930" s="6" t="s">
        <v>6</v>
      </c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37">
        <v>20.83</v>
      </c>
      <c r="AE930" s="9">
        <f>SUM(S930:AD930)</f>
        <v>20.83</v>
      </c>
    </row>
    <row r="931" spans="2:31" ht="13.5" thickBot="1" x14ac:dyDescent="0.25">
      <c r="C931" s="6" t="s">
        <v>7</v>
      </c>
      <c r="S931" s="9">
        <v>0</v>
      </c>
      <c r="T931" s="9">
        <v>0</v>
      </c>
      <c r="U931" s="9">
        <v>0</v>
      </c>
      <c r="V931" s="9">
        <v>0</v>
      </c>
      <c r="W931" s="9">
        <v>0</v>
      </c>
      <c r="X931" s="9">
        <v>0</v>
      </c>
      <c r="Y931" s="9">
        <v>0</v>
      </c>
      <c r="Z931" s="9">
        <v>0</v>
      </c>
      <c r="AA931" s="9">
        <v>0</v>
      </c>
      <c r="AB931" s="9">
        <v>0</v>
      </c>
      <c r="AC931" s="9">
        <v>0</v>
      </c>
      <c r="AD931" s="37">
        <v>33347.730000000003</v>
      </c>
      <c r="AE931" s="9">
        <f>SUM(S931:AD931)</f>
        <v>33347.730000000003</v>
      </c>
    </row>
    <row r="932" spans="2:31" ht="13.5" thickBot="1" x14ac:dyDescent="0.25">
      <c r="C932" s="10" t="s">
        <v>26</v>
      </c>
      <c r="S932" s="11">
        <f t="shared" ref="S932:AA932" si="216">SUM(S929:S931)</f>
        <v>0</v>
      </c>
      <c r="T932" s="11">
        <f t="shared" si="216"/>
        <v>0</v>
      </c>
      <c r="U932" s="11">
        <f t="shared" si="216"/>
        <v>0</v>
      </c>
      <c r="V932" s="11">
        <f t="shared" si="216"/>
        <v>0</v>
      </c>
      <c r="W932" s="11">
        <f t="shared" si="216"/>
        <v>0</v>
      </c>
      <c r="X932" s="11">
        <f t="shared" si="216"/>
        <v>0</v>
      </c>
      <c r="Y932" s="11">
        <f t="shared" si="216"/>
        <v>0</v>
      </c>
      <c r="Z932" s="11">
        <f t="shared" si="216"/>
        <v>0</v>
      </c>
      <c r="AA932" s="11">
        <f t="shared" si="216"/>
        <v>0</v>
      </c>
      <c r="AB932" s="11">
        <f t="shared" ref="AB932:AE932" si="217">SUM(AB929:AB931)</f>
        <v>0</v>
      </c>
      <c r="AC932" s="11">
        <f t="shared" si="217"/>
        <v>0</v>
      </c>
      <c r="AD932" s="38">
        <f t="shared" si="217"/>
        <v>33368.560000000005</v>
      </c>
      <c r="AE932" s="11">
        <f t="shared" si="217"/>
        <v>33368.560000000005</v>
      </c>
    </row>
    <row r="933" spans="2:31" x14ac:dyDescent="0.2">
      <c r="C933" s="12"/>
    </row>
    <row r="934" spans="2:31" x14ac:dyDescent="0.2">
      <c r="C934" s="12"/>
    </row>
    <row r="935" spans="2:31" ht="15.75" x14ac:dyDescent="0.25">
      <c r="C935" s="19" t="s">
        <v>271</v>
      </c>
    </row>
    <row r="936" spans="2:31" ht="15.75" x14ac:dyDescent="0.25">
      <c r="C936" s="6" t="s">
        <v>272</v>
      </c>
      <c r="S936" s="28">
        <f>SUM(S5,S11,S17,S23)+SUM(S29,S35,S41,S47,S53,S59,S65,S71,S77)+SUM(S83,S89,S95,S101,S107,S113,S119,S125,S131,S137,S143,S149,S155,S161,S167,S173)+SUM(S179,S185,S191,S197,S203,S209,S215,S221,S227,S233,S239,S245,S251,S257,S263,S269)+SUM(S275,S281,S287,S293,S299,S305,S311,S317,S323,S329,S335,S341,S347,S353,S359,S365,S371,S377,S383,S389)+SUM(S395,S401,S407,S413,S419,S425,S431,S437,S443,S449,S455,S461,S467,S473,S479,S485,S491,S497,S503,S509,S515,S521,S527,S533,S539,S545,S551,S557)+SUM(S563,S569,S575,S581,S587,S593,S599,S605,S611,S617,S623,S629,S635,S641,S647,S653,S659,S665,S671,S677,S683,S689,S695,S701,S707,S713,S719,S725,S731,S737)+SUM(S743,S749,S755,S761,S767,S773,S779,S785,S791,S797,S803,S809,S815,S821)+SUM(S827,S833,S839,S845,S851,S857,S863,S869,S875,S881,S887,S893,S899,S905,S911,S917,S923,S929)</f>
        <v>48230.68</v>
      </c>
      <c r="T936" s="28">
        <f t="shared" ref="T936:AD939" si="218">SUM(T5,T11,T17,T23)+SUM(T29,T35,T41,T47,T53,T59,T65,T71,T77)+SUM(T83,T89,T95,T101,T107,T113,T119,T125,T131,T137,T143,T149,T155,T161,T167,T173)+SUM(T179,T185,T191,T197,T203,T209,T215,T221,T227,T233,T239,T245,T251,T257,T263,T269)+SUM(T275,T281,T287,T293,T299,T305,T311,T317,T323,T329,T335,T341,T347,T353,T359,T365,T371,T377,T383,T389)+SUM(T395,T401,T407,T413,T419,T425,T431,T437,T443,T449,T455,T461,T467,T473,T479,T485,T491,T497,T503,T509,T515,T521,T527,T533,T539,T545,T551,T557)+SUM(T563,T569,T575,T581,T587,T593,T599,T605,T611,T617,T623,T629,T635,T641,T647,T653,T659,T665,T671,T677,T683,T689,T695,T701,T707,T713,T719,T725,T731,T737)+SUM(T743,T749,T755,T761,T767,T773,T779,T785,T791,T797,T803,T809,T815,T821)+SUM(T827,T833,T839,T845,T851,T857,T863,T869,T875,T881,T887,T893,T899,T905,T911,T917,T923,T929)</f>
        <v>48208.18</v>
      </c>
      <c r="U936" s="28">
        <f t="shared" si="218"/>
        <v>48980.43</v>
      </c>
      <c r="V936" s="28">
        <f t="shared" si="218"/>
        <v>48742.93</v>
      </c>
      <c r="W936" s="28">
        <f t="shared" si="218"/>
        <v>48690.43</v>
      </c>
      <c r="X936" s="28">
        <f t="shared" si="218"/>
        <v>51458.73</v>
      </c>
      <c r="Y936" s="28">
        <f t="shared" si="218"/>
        <v>49873.46</v>
      </c>
      <c r="Z936" s="28">
        <f t="shared" si="218"/>
        <v>49540.409999999996</v>
      </c>
      <c r="AA936" s="28">
        <f t="shared" si="218"/>
        <v>49389.999999999993</v>
      </c>
      <c r="AB936" s="28">
        <f t="shared" si="218"/>
        <v>52755.33</v>
      </c>
      <c r="AC936" s="28">
        <f t="shared" si="218"/>
        <v>52665.760000000002</v>
      </c>
      <c r="AD936" s="41">
        <f t="shared" si="218"/>
        <v>52572.41</v>
      </c>
      <c r="AE936" s="28">
        <f>SUM(S936:AD936)</f>
        <v>601108.75</v>
      </c>
    </row>
    <row r="937" spans="2:31" ht="15.75" x14ac:dyDescent="0.25">
      <c r="C937" s="6" t="s">
        <v>273</v>
      </c>
      <c r="S937" s="28">
        <f>SUM(S6,S12,S18,S24)+SUM(S30,S36,S42,S48,S54,S60,S66,S72,S78)+SUM(S84,S90,S96,S102,S108,S114,S120,S126,S132,S138,S144,S150,S156,S162,S168,S174)+SUM(S180,S186,S192,S198,S204,S210,S216,S222,S228,S234,S240,S246,S252,S258,S264,S270)+SUM(S276,S282,S288,S294,S300,S306,S312,S318,S324,S330,S336,S342,S348,S354,S360,S366,S372,S378,S384,S390)+SUM(S396,S402,S408,S414,S420,S426,S432,S438,S444,S450,S456,S462,S468,S474,S480,S486,S492,S498,S504,S510,S516,S522,S528,S534,S540,S546,S552,S558)+SUM(S564,S570,S576,S582,S588,S594,S600,S606,S612,S618,S624,S630,S636,S642,S648,S654,S660,S666,S672,S678,S684,S690,S696,S702,S708,S714,S720,S726,S732,S738)+SUM(S744,S750,S756,S762,S768,S774,S780,S786,S792,S798,S804,S810,S816,S822)+SUM(S828,S834,S840,S846,S852,S858,S864,S870,S876,S882,S888,S894,S900,S906,S912,S918,S924,S930)</f>
        <v>28750</v>
      </c>
      <c r="T937" s="28">
        <f t="shared" si="218"/>
        <v>0</v>
      </c>
      <c r="U937" s="28">
        <f t="shared" si="218"/>
        <v>833.32</v>
      </c>
      <c r="V937" s="28">
        <f t="shared" si="218"/>
        <v>0</v>
      </c>
      <c r="W937" s="28">
        <f t="shared" si="218"/>
        <v>0</v>
      </c>
      <c r="X937" s="28">
        <f t="shared" si="218"/>
        <v>437.49</v>
      </c>
      <c r="Y937" s="28">
        <f t="shared" si="218"/>
        <v>0</v>
      </c>
      <c r="Z937" s="28">
        <f t="shared" si="218"/>
        <v>0</v>
      </c>
      <c r="AA937" s="28">
        <f t="shared" si="218"/>
        <v>0</v>
      </c>
      <c r="AB937" s="28">
        <f t="shared" si="218"/>
        <v>62.5</v>
      </c>
      <c r="AC937" s="28">
        <f t="shared" si="218"/>
        <v>0</v>
      </c>
      <c r="AD937" s="41">
        <f t="shared" si="218"/>
        <v>20.83</v>
      </c>
      <c r="AE937" s="28">
        <f>SUM(S937:AD937)</f>
        <v>30104.140000000003</v>
      </c>
    </row>
    <row r="938" spans="2:31" ht="15.75" x14ac:dyDescent="0.25">
      <c r="C938" s="6" t="s">
        <v>274</v>
      </c>
      <c r="S938" s="28">
        <f>SUM(S7,S13,S19,S25)+SUM(S31,S37,S43,S49,S55,S61,S67,S73,S79)+SUM(S85,S91,S97,S103,S109,S115,S121,S127,S133,S139,S145,S151,S157,S163,S169,S175)+SUM(S181,S187,S193,S199,S205,S211,S217,S223,S229,S235,S241,S247,S253,S259,S265,S271)+SUM(S277,S283,S289,S295,S301,S307,S313,S319,S325,S331,S337,S343,S349,S355,S361,S367,S373,S379,S385,S391)+SUM(S397,S403,S409,S415,S421,S427,S433,S439,S445,S451,S457,S463,S469,S475,S481,S487,S493,S499,S505,S511,S517,S523,S529,S535,S541,S547,S553,S559)+SUM(S565,S571,S577,S583,S589,S595,S601,S607,S613,S619,S625,S631,S637,S643,S649,S655,S661,S667,S673,S679,S685,S691,S697,S703,S709,S715,S721,S727,S733,S739)+SUM(S745,S751,S757,S763,S769,S775,S781,S787,S793,S799,S805,S811,S817,S823)+SUM(S829,S835,S841,S847,S853,S859,S865,S871,S877,S883,S889,S895,S901,S907,S913,S919,S925,S931)</f>
        <v>8449858.5500000007</v>
      </c>
      <c r="T938" s="28">
        <f t="shared" si="218"/>
        <v>8389567</v>
      </c>
      <c r="U938" s="28">
        <f t="shared" si="218"/>
        <v>8539509.1500000004</v>
      </c>
      <c r="V938" s="28">
        <f t="shared" si="218"/>
        <v>8543234.6400000006</v>
      </c>
      <c r="W938" s="28">
        <f t="shared" si="218"/>
        <v>8564045.6300000008</v>
      </c>
      <c r="X938" s="28">
        <f t="shared" si="218"/>
        <v>8723873.129999999</v>
      </c>
      <c r="Y938" s="28">
        <f t="shared" si="218"/>
        <v>8769793.0700000003</v>
      </c>
      <c r="Z938" s="28">
        <f t="shared" si="218"/>
        <v>8744807.3300000001</v>
      </c>
      <c r="AA938" s="28">
        <f t="shared" si="218"/>
        <v>8740316.3900000006</v>
      </c>
      <c r="AB938" s="28">
        <f t="shared" si="218"/>
        <v>8727074.6799999997</v>
      </c>
      <c r="AC938" s="28">
        <f t="shared" si="218"/>
        <v>8780450.4900000002</v>
      </c>
      <c r="AD938" s="41">
        <f t="shared" si="218"/>
        <v>8909961.5599999987</v>
      </c>
      <c r="AE938" s="28">
        <f>SUM(S938:AD938)</f>
        <v>103882491.62000002</v>
      </c>
    </row>
    <row r="939" spans="2:31" ht="15.75" x14ac:dyDescent="0.25">
      <c r="C939" s="29" t="s">
        <v>275</v>
      </c>
      <c r="S939" s="28">
        <f>SUM(S8,S14,S20,S26)+SUM(S32,S38,S44,S50,S56,S62,S68,S74,S80)+SUM(S86,S92,S98,S104,S110,S116,S122,S128,S134,S140,S146,S152,S158,S164,S170,S176)+SUM(S182,S188,S194,S200,S206,S212,S218,S224,S230,S236,S242,S248,S254,S260,S266,S272)+SUM(S278,S284,S290,S296,S302,S308,S314,S320,S326,S332,S338,S344,S350,S356,S362,S368,S374,S380,S386,S392)+SUM(S398,S404,S410,S416,S422,S428,S434,S440,S446,S452,S458,S464,S470,S476,S482,S488,S494,S500,S506,S512,S518,S524,S530,S536,S542,S548,S554,S560)+SUM(S566,S572,S578,S584,S590,S596,S602,S608,S614,S620,S626,S632,S638,S644,S650,S656,S662,S668,S674,S680,S686,S692,S698,S704,S710,S716,S722,S728,S734,S740)+SUM(S746,S752,S758,S764,S770,S776,S782,S788,S794,S800,S806,S812,S818,S824)+SUM(S830,S836,S842,S848,S854,S860,S866,S872,S878,S884,S890,S896,S902,S908,S914,S920,S926,S932)</f>
        <v>8526839.2300000004</v>
      </c>
      <c r="T939" s="28">
        <f t="shared" si="218"/>
        <v>8437775.1799999997</v>
      </c>
      <c r="U939" s="28">
        <f t="shared" si="218"/>
        <v>8589322.9000000004</v>
      </c>
      <c r="V939" s="28">
        <f t="shared" si="218"/>
        <v>8591977.5700000022</v>
      </c>
      <c r="W939" s="28">
        <f t="shared" si="218"/>
        <v>8612736.0599999987</v>
      </c>
      <c r="X939" s="28">
        <f t="shared" si="218"/>
        <v>8775769.3499999996</v>
      </c>
      <c r="Y939" s="28">
        <f t="shared" si="218"/>
        <v>8819666.5299999993</v>
      </c>
      <c r="Z939" s="28">
        <f t="shared" si="218"/>
        <v>8794347.7400000002</v>
      </c>
      <c r="AA939" s="28">
        <f t="shared" si="218"/>
        <v>8789706.3900000006</v>
      </c>
      <c r="AB939" s="28">
        <f t="shared" si="218"/>
        <v>8779892.5099999998</v>
      </c>
      <c r="AC939" s="28">
        <f t="shared" si="218"/>
        <v>8833116.25</v>
      </c>
      <c r="AD939" s="41">
        <f t="shared" si="218"/>
        <v>8962554.8000000007</v>
      </c>
      <c r="AE939" s="28">
        <f>SUM(S939:AD939)</f>
        <v>104513704.51000001</v>
      </c>
    </row>
    <row r="940" spans="2:31" x14ac:dyDescent="0.2">
      <c r="C940" s="6"/>
    </row>
    <row r="941" spans="2:31" ht="14.25" x14ac:dyDescent="0.2">
      <c r="B941" s="30" t="s">
        <v>276</v>
      </c>
      <c r="C941" s="31" t="s">
        <v>277</v>
      </c>
    </row>
    <row r="942" spans="2:31" ht="14.25" x14ac:dyDescent="0.2">
      <c r="B942" s="7" t="s">
        <v>3</v>
      </c>
      <c r="C942" s="32" t="s">
        <v>278</v>
      </c>
    </row>
    <row r="943" spans="2:31" ht="14.25" x14ac:dyDescent="0.2">
      <c r="B943" s="33" t="s">
        <v>279</v>
      </c>
      <c r="C943" s="34" t="s">
        <v>280</v>
      </c>
    </row>
    <row r="944" spans="2:31" x14ac:dyDescent="0.2">
      <c r="C944" s="6"/>
    </row>
    <row r="945" spans="3:3" x14ac:dyDescent="0.2">
      <c r="C945" s="6"/>
    </row>
    <row r="946" spans="3:3" x14ac:dyDescent="0.2">
      <c r="C946" s="6"/>
    </row>
    <row r="947" spans="3:3" x14ac:dyDescent="0.2">
      <c r="C947" s="6"/>
    </row>
    <row r="948" spans="3:3" x14ac:dyDescent="0.2">
      <c r="C948" s="6"/>
    </row>
    <row r="949" spans="3:3" x14ac:dyDescent="0.2">
      <c r="C949" s="6"/>
    </row>
    <row r="950" spans="3:3" x14ac:dyDescent="0.2">
      <c r="C950" s="6"/>
    </row>
    <row r="951" spans="3:3" x14ac:dyDescent="0.2">
      <c r="C951" s="6"/>
    </row>
    <row r="952" spans="3:3" x14ac:dyDescent="0.2">
      <c r="C952" s="6"/>
    </row>
    <row r="953" spans="3:3" x14ac:dyDescent="0.2">
      <c r="C953" s="6"/>
    </row>
    <row r="954" spans="3:3" x14ac:dyDescent="0.2">
      <c r="C954" s="6"/>
    </row>
    <row r="955" spans="3:3" x14ac:dyDescent="0.2">
      <c r="C955" s="6"/>
    </row>
    <row r="956" spans="3:3" x14ac:dyDescent="0.2">
      <c r="C956" s="6"/>
    </row>
    <row r="957" spans="3:3" x14ac:dyDescent="0.2">
      <c r="C957" s="6"/>
    </row>
    <row r="958" spans="3:3" x14ac:dyDescent="0.2">
      <c r="C958" s="6"/>
    </row>
    <row r="959" spans="3:3" x14ac:dyDescent="0.2">
      <c r="C959" s="6"/>
    </row>
    <row r="960" spans="3:3" x14ac:dyDescent="0.2">
      <c r="C960" s="6"/>
    </row>
    <row r="961" spans="3:3" x14ac:dyDescent="0.2">
      <c r="C961" s="6"/>
    </row>
    <row r="962" spans="3:3" x14ac:dyDescent="0.2">
      <c r="C962" s="6"/>
    </row>
    <row r="963" spans="3:3" x14ac:dyDescent="0.2">
      <c r="C963" s="6"/>
    </row>
    <row r="964" spans="3:3" x14ac:dyDescent="0.2">
      <c r="C964" s="6"/>
    </row>
    <row r="965" spans="3:3" x14ac:dyDescent="0.2">
      <c r="C965" s="6"/>
    </row>
    <row r="966" spans="3:3" x14ac:dyDescent="0.2">
      <c r="C966" s="6"/>
    </row>
    <row r="967" spans="3:3" x14ac:dyDescent="0.2">
      <c r="C967" s="6"/>
    </row>
    <row r="968" spans="3:3" x14ac:dyDescent="0.2">
      <c r="C968" s="6"/>
    </row>
    <row r="969" spans="3:3" x14ac:dyDescent="0.2">
      <c r="C969" s="6"/>
    </row>
    <row r="970" spans="3:3" x14ac:dyDescent="0.2">
      <c r="C970" s="6"/>
    </row>
    <row r="971" spans="3:3" x14ac:dyDescent="0.2">
      <c r="C971" s="6"/>
    </row>
    <row r="972" spans="3:3" x14ac:dyDescent="0.2">
      <c r="C972" s="6"/>
    </row>
    <row r="973" spans="3:3" x14ac:dyDescent="0.2">
      <c r="C973" s="6"/>
    </row>
    <row r="974" spans="3:3" x14ac:dyDescent="0.2">
      <c r="C974" s="6"/>
    </row>
    <row r="975" spans="3:3" x14ac:dyDescent="0.2">
      <c r="C975" s="6"/>
    </row>
    <row r="976" spans="3:3" x14ac:dyDescent="0.2">
      <c r="C976" s="6"/>
    </row>
    <row r="977" spans="3:3" x14ac:dyDescent="0.2">
      <c r="C977" s="6"/>
    </row>
    <row r="978" spans="3:3" x14ac:dyDescent="0.2">
      <c r="C978" s="6"/>
    </row>
    <row r="979" spans="3:3" x14ac:dyDescent="0.2">
      <c r="C979" s="6"/>
    </row>
    <row r="980" spans="3:3" x14ac:dyDescent="0.2">
      <c r="C980" s="6"/>
    </row>
    <row r="981" spans="3:3" x14ac:dyDescent="0.2">
      <c r="C981" s="6"/>
    </row>
    <row r="982" spans="3:3" x14ac:dyDescent="0.2">
      <c r="C982" s="6"/>
    </row>
    <row r="983" spans="3:3" x14ac:dyDescent="0.2">
      <c r="C983" s="6"/>
    </row>
    <row r="984" spans="3:3" x14ac:dyDescent="0.2">
      <c r="C984" s="6"/>
    </row>
    <row r="985" spans="3:3" x14ac:dyDescent="0.2">
      <c r="C985" s="6"/>
    </row>
    <row r="986" spans="3:3" x14ac:dyDescent="0.2">
      <c r="C986" s="6"/>
    </row>
    <row r="987" spans="3:3" x14ac:dyDescent="0.2">
      <c r="C987" s="6"/>
    </row>
    <row r="988" spans="3:3" x14ac:dyDescent="0.2">
      <c r="C988" s="6"/>
    </row>
    <row r="989" spans="3:3" x14ac:dyDescent="0.2">
      <c r="C989" s="6"/>
    </row>
    <row r="990" spans="3:3" x14ac:dyDescent="0.2">
      <c r="C990" s="6"/>
    </row>
  </sheetData>
  <printOptions horizontalCentered="1"/>
  <pageMargins left="0" right="0" top="0.2" bottom="0.2" header="0.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summary2</vt:lpstr>
      <vt:lpstr>'payment summary2'!Print_Titles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Jozwiak, Clare</dc:creator>
  <cp:lastModifiedBy>Fornecker, Gene</cp:lastModifiedBy>
  <dcterms:created xsi:type="dcterms:W3CDTF">2022-07-06T15:30:45Z</dcterms:created>
  <dcterms:modified xsi:type="dcterms:W3CDTF">2023-06-06T16:33:03Z</dcterms:modified>
</cp:coreProperties>
</file>